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A122" lockStructure="1"/>
  <bookViews>
    <workbookView xWindow="33375" yWindow="465" windowWidth="29040" windowHeight="15735"/>
  </bookViews>
  <sheets>
    <sheet name="Activate" sheetId="16" r:id="rId1"/>
    <sheet name="Guide" sheetId="18" r:id="rId2"/>
    <sheet name="Dashboard" sheetId="13" r:id="rId3"/>
    <sheet name="Income" sheetId="9" r:id="rId4"/>
    <sheet name="Taxes" sheetId="15" r:id="rId5"/>
    <sheet name="Expenses" sheetId="11" r:id="rId6"/>
    <sheet name="Investments" sheetId="7" r:id="rId7"/>
    <sheet name="RealEstate" sheetId="12" r:id="rId8"/>
    <sheet name="Decode" sheetId="17" state="hidden" r:id="rId9"/>
  </sheets>
  <definedNames>
    <definedName name="age">Dashboard!$B$6</definedName>
    <definedName name="cashBorrowRate">Dashboard!$B$14</definedName>
    <definedName name="cashDepositRate">Dashboard!$B$13</definedName>
    <definedName name="cashStartingBalance">Dashboard!$B$11</definedName>
    <definedName name="cashTargetBalance">Dashboard!$B$12</definedName>
    <definedName name="expAmount">Dashboard!$B$29</definedName>
    <definedName name="expDesc">Dashboard!$B$28</definedName>
    <definedName name="expEnd">Dashboard!$B$32</definedName>
    <definedName name="expGrowth">Dashboard!$B$30</definedName>
    <definedName name="expiredLicense">Decode!$I$7</definedName>
    <definedName name="expStart">Dashboard!$B$31</definedName>
    <definedName name="incomeCap">Dashboard!$B$21</definedName>
    <definedName name="incomeDesc">Dashboard!$B$18</definedName>
    <definedName name="incomeEnd">Dashboard!$B$24</definedName>
    <definedName name="incomeGrowth">Dashboard!$B$20</definedName>
    <definedName name="incomeIncome">Dashboard!$B$19</definedName>
    <definedName name="incomeStart">Dashboard!$B$23</definedName>
    <definedName name="incomeTaxedAs">Dashboard!$B$22</definedName>
    <definedName name="inflation">Dashboard!$B$5</definedName>
    <definedName name="instExpStart">Guide!$A$30</definedName>
    <definedName name="instr_Cash1">Guide!$A$9</definedName>
    <definedName name="instr_Cash2">Guide!$A$10</definedName>
    <definedName name="instr_Cash3">Guide!$A$11</definedName>
    <definedName name="instr_Cash4">Guide!$A$12</definedName>
    <definedName name="instr_REDesc">Guide!$A$39</definedName>
    <definedName name="instr_REValue">Guide!$A$40</definedName>
    <definedName name="instr401KTarget">Guide!$A$6</definedName>
    <definedName name="instrAge">Guide!$A$5</definedName>
    <definedName name="instrExpAmount">Guide!$A$28</definedName>
    <definedName name="instrExpDesc">Guide!$A$27</definedName>
    <definedName name="instrExpEnd">Guide!$A$31</definedName>
    <definedName name="instrExpGrowth">Guide!$A$29</definedName>
    <definedName name="instrIncome">Guide!$A$17</definedName>
    <definedName name="instrIncomeCap">Guide!$A$19</definedName>
    <definedName name="instrIncomeDesc">Guide!$A$16</definedName>
    <definedName name="instrIncomeEnd">Guide!$A$22</definedName>
    <definedName name="instrIncomeGrowth">Guide!$A$18</definedName>
    <definedName name="instrIncomeStart">Guide!$A$21</definedName>
    <definedName name="instrIncomeTaxedAs">Guide!$A$20</definedName>
    <definedName name="instrInflation">Guide!$A$4</definedName>
    <definedName name="instrInsurance">Guide!$A$48</definedName>
    <definedName name="instrInvBal">Guide!$A$57</definedName>
    <definedName name="instrInvDesc">Guide!$A$56</definedName>
    <definedName name="instrInvDiv">Guide!$A$59</definedName>
    <definedName name="instrInvReb">Guide!$A$60</definedName>
    <definedName name="instrInvTaxDef">Guide!$A$61</definedName>
    <definedName name="instrInvTRR">Guide!$A$58</definedName>
    <definedName name="instrMaintenance">Guide!$A$49</definedName>
    <definedName name="instrMtgYEars">Guide!$A$45</definedName>
    <definedName name="instrREEnd">Guide!$A$43</definedName>
    <definedName name="instrREGrowth">Guide!$A$41</definedName>
    <definedName name="instrRELTV">Guide!$A$44</definedName>
    <definedName name="instrREPropertyTax">Guide!$A$47</definedName>
    <definedName name="instrRERate">Guide!$A$46</definedName>
    <definedName name="instrREStart">Guide!$A$42</definedName>
    <definedName name="instrREUtils">Guide!$A$50</definedName>
    <definedName name="invBal">Dashboard!$B$52</definedName>
    <definedName name="invDesc">Dashboard!$B$51</definedName>
    <definedName name="invDiv">Dashboard!$B$54</definedName>
    <definedName name="invReb">Dashboard!$B$55</definedName>
    <definedName name="invTaxDef">Dashboard!$B$56</definedName>
    <definedName name="invTRR">Dashboard!$B$53</definedName>
    <definedName name="Line_Liquid_Assets">OFFSET(Dashboard!$L$63,0,0,Dashboard!$B$166,1)</definedName>
    <definedName name="Line_Total_Assets">OFFSET(Dashboard!$N$63,0,0,Dashboard!$B$166,1)</definedName>
    <definedName name="Line_X_Assets">OFFSET(Dashboard!$B$63,0,0,Dashboard!$B$166,1)</definedName>
    <definedName name="Message">Decode!$I$8</definedName>
    <definedName name="REBuy">Dashboard!$B$39</definedName>
    <definedName name="REDesc">Dashboard!$B$36</definedName>
    <definedName name="REGrowth">Dashboard!$B$38</definedName>
    <definedName name="REInsurance">Dashboard!$B$45</definedName>
    <definedName name="RELTV">Dashboard!$B$41</definedName>
    <definedName name="REMaint">Dashboard!$B$46</definedName>
    <definedName name="REMtgRate">Dashboard!$B$43</definedName>
    <definedName name="REMtgYrs">Dashboard!$B$42</definedName>
    <definedName name="REPropTax">Dashboard!$B$44</definedName>
    <definedName name="RESell">Dashboard!$B$40</definedName>
    <definedName name="REUtils">Dashboard!$B$47</definedName>
    <definedName name="REValue">Dashboard!$B$37</definedName>
    <definedName name="Target401K">Dashboard!$B$7</definedName>
  </definedNames>
  <calcPr calcId="145621"/>
</workbook>
</file>

<file path=xl/calcChain.xml><?xml version="1.0" encoding="utf-8"?>
<calcChain xmlns="http://schemas.openxmlformats.org/spreadsheetml/2006/main">
  <c r="AB109" i="12" l="1"/>
  <c r="O109" i="12"/>
  <c r="P10" i="12" l="1"/>
  <c r="P9" i="12"/>
  <c r="P8" i="12"/>
  <c r="P7" i="12"/>
  <c r="P6" i="12"/>
  <c r="G54" i="13" l="1"/>
  <c r="G55" i="13" s="1"/>
  <c r="G56" i="13" s="1"/>
  <c r="G57" i="13" s="1"/>
  <c r="G58" i="13" s="1"/>
  <c r="H4" i="11" l="1"/>
  <c r="BB11" i="7" l="1"/>
  <c r="AT11" i="7"/>
  <c r="AL11" i="7"/>
  <c r="D7" i="9" l="1"/>
  <c r="T2" i="7"/>
  <c r="B13" i="13"/>
  <c r="B63" i="13" l="1"/>
  <c r="A64" i="13"/>
  <c r="A65" i="13" s="1"/>
  <c r="A66" i="13" s="1"/>
  <c r="A67" i="13" s="1"/>
  <c r="A68" i="13" s="1"/>
  <c r="A69" i="13" s="1"/>
  <c r="A70" i="13" s="1"/>
  <c r="A71" i="13" s="1"/>
  <c r="A72" i="13" s="1"/>
  <c r="B64" i="13"/>
  <c r="B65" i="13" s="1"/>
  <c r="B66" i="13" s="1"/>
  <c r="B67" i="13" s="1"/>
  <c r="B68" i="13" s="1"/>
  <c r="B69" i="13" s="1"/>
  <c r="B70" i="13" s="1"/>
  <c r="B71" i="13" s="1"/>
  <c r="B72" i="13" s="1"/>
  <c r="AX5" i="7"/>
  <c r="AP5" i="7"/>
  <c r="AP4" i="7"/>
  <c r="B14" i="13"/>
  <c r="AX7" i="7"/>
  <c r="AY7" i="7" s="1"/>
  <c r="AZ7" i="7" s="1"/>
  <c r="AX6" i="7"/>
  <c r="AX3" i="7"/>
  <c r="BA11" i="7" s="1"/>
  <c r="AP7" i="7"/>
  <c r="AQ7" i="7" s="1"/>
  <c r="AR7" i="7" s="1"/>
  <c r="AP6" i="7"/>
  <c r="AP3" i="7"/>
  <c r="AS11" i="7" s="1"/>
  <c r="AH7" i="7"/>
  <c r="AH6" i="7"/>
  <c r="AH3" i="7"/>
  <c r="AK11" i="7" s="1"/>
  <c r="Z6" i="7"/>
  <c r="AD11" i="7"/>
  <c r="AX12" i="7" l="1"/>
  <c r="AP12" i="7"/>
  <c r="AO12" i="7"/>
  <c r="AT12" i="7" s="1"/>
  <c r="AX4" i="7"/>
  <c r="AW12" i="7" s="1"/>
  <c r="AQ12" i="7" l="1"/>
  <c r="AY12" i="7"/>
  <c r="BB12" i="7"/>
  <c r="Z5" i="7"/>
  <c r="Y4" i="15" l="1"/>
  <c r="Y5" i="15" s="1"/>
  <c r="Y6" i="15" s="1"/>
  <c r="V4" i="15"/>
  <c r="V5" i="15" s="1"/>
  <c r="V6" i="15" s="1"/>
  <c r="V7" i="15" s="1"/>
  <c r="V8" i="15" s="1"/>
  <c r="V9" i="15" s="1"/>
  <c r="V10" i="15" s="1"/>
  <c r="V11" i="15" s="1"/>
  <c r="S4" i="15"/>
  <c r="S5" i="15" s="1"/>
  <c r="S6" i="15" s="1"/>
  <c r="S7" i="15" s="1"/>
  <c r="S8" i="15" s="1"/>
  <c r="S9" i="15" s="1"/>
  <c r="S10" i="15" s="1"/>
  <c r="S11" i="15" s="1"/>
  <c r="T3" i="7"/>
  <c r="K25" i="17" l="1"/>
  <c r="K26" i="17"/>
  <c r="J27" i="17"/>
  <c r="K27" i="17"/>
  <c r="B65" i="18"/>
  <c r="G2" i="9"/>
  <c r="G6" i="9"/>
  <c r="G3" i="9"/>
  <c r="K28" i="17" l="1"/>
  <c r="J2" i="9"/>
  <c r="B4" i="17"/>
  <c r="C4" i="17"/>
  <c r="D4" i="17"/>
  <c r="E4" i="17"/>
  <c r="I6" i="17"/>
  <c r="O6" i="11"/>
  <c r="N6" i="11"/>
  <c r="M6" i="11"/>
  <c r="L6" i="11"/>
  <c r="O5" i="11"/>
  <c r="N5" i="11"/>
  <c r="L5" i="11"/>
  <c r="O4" i="11"/>
  <c r="N4" i="11"/>
  <c r="M4" i="11"/>
  <c r="L4" i="11"/>
  <c r="O3" i="11"/>
  <c r="N3" i="11"/>
  <c r="M3" i="11"/>
  <c r="L3" i="11"/>
  <c r="O2" i="11"/>
  <c r="N2" i="11"/>
  <c r="M2" i="11"/>
  <c r="L2" i="11"/>
  <c r="M5" i="11"/>
  <c r="V11" i="7"/>
  <c r="T5" i="7"/>
  <c r="T4" i="7"/>
  <c r="Z3" i="7"/>
  <c r="AC11" i="7" s="1"/>
  <c r="D3" i="9"/>
  <c r="E3" i="9"/>
  <c r="C16" i="15"/>
  <c r="AL11" i="15"/>
  <c r="AK11" i="15"/>
  <c r="AJ11" i="15"/>
  <c r="AI11" i="15"/>
  <c r="AH11" i="15"/>
  <c r="AG11" i="15"/>
  <c r="AF11" i="15"/>
  <c r="AE11" i="15"/>
  <c r="AD11" i="15"/>
  <c r="AC11" i="15"/>
  <c r="BJ11" i="15"/>
  <c r="BE11" i="15"/>
  <c r="BD11" i="15"/>
  <c r="BC11" i="15"/>
  <c r="BJ10" i="15"/>
  <c r="BK10" i="15" s="1"/>
  <c r="BI10" i="15"/>
  <c r="BH10" i="15"/>
  <c r="BG10" i="15"/>
  <c r="BF10" i="15"/>
  <c r="BE10" i="15"/>
  <c r="BD10" i="15"/>
  <c r="BC10" i="15"/>
  <c r="BB11" i="15"/>
  <c r="BB10" i="15"/>
  <c r="AY11" i="15"/>
  <c r="AX11" i="15"/>
  <c r="AW11" i="15"/>
  <c r="AV11" i="15"/>
  <c r="AU11" i="15"/>
  <c r="AT11" i="15"/>
  <c r="AS11" i="15"/>
  <c r="AR11" i="15"/>
  <c r="AY10" i="15"/>
  <c r="AZ10" i="15" s="1"/>
  <c r="AX10" i="15"/>
  <c r="AW10" i="15"/>
  <c r="AV10" i="15"/>
  <c r="AU10" i="15"/>
  <c r="AT10" i="15"/>
  <c r="AS10" i="15"/>
  <c r="AR10" i="15"/>
  <c r="AQ11" i="15"/>
  <c r="AQ10" i="15"/>
  <c r="AK10" i="15"/>
  <c r="AL10" i="15" s="1"/>
  <c r="AJ10" i="15"/>
  <c r="AI10" i="15"/>
  <c r="AH10" i="15"/>
  <c r="AG10" i="15"/>
  <c r="AF10" i="15"/>
  <c r="AE10" i="15"/>
  <c r="AD10" i="15"/>
  <c r="AC10" i="15"/>
  <c r="W7" i="15"/>
  <c r="I2" i="9"/>
  <c r="H2" i="9"/>
  <c r="F2" i="9"/>
  <c r="E2" i="9"/>
  <c r="A17" i="15"/>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C116" i="15" s="1"/>
  <c r="B16" i="15"/>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B63" i="15" s="1"/>
  <c r="B64" i="15" s="1"/>
  <c r="B65" i="15" s="1"/>
  <c r="B66" i="15" s="1"/>
  <c r="B67" i="15" s="1"/>
  <c r="B68" i="15" s="1"/>
  <c r="B69" i="15" s="1"/>
  <c r="B70" i="15" s="1"/>
  <c r="B71" i="15" s="1"/>
  <c r="B72" i="15" s="1"/>
  <c r="B73" i="15" s="1"/>
  <c r="B74" i="15" s="1"/>
  <c r="B75" i="15" s="1"/>
  <c r="B76" i="15" s="1"/>
  <c r="B77" i="15" s="1"/>
  <c r="B78" i="15" s="1"/>
  <c r="B79" i="15" s="1"/>
  <c r="B80" i="15" s="1"/>
  <c r="B81" i="15" s="1"/>
  <c r="B82" i="15" s="1"/>
  <c r="B83" i="15" s="1"/>
  <c r="B84" i="15" s="1"/>
  <c r="B85" i="15" s="1"/>
  <c r="B86" i="15" s="1"/>
  <c r="B87" i="15" s="1"/>
  <c r="B88" i="15" s="1"/>
  <c r="B89" i="15" s="1"/>
  <c r="B90" i="15" s="1"/>
  <c r="B91" i="15" s="1"/>
  <c r="B92" i="15" s="1"/>
  <c r="B93" i="15" s="1"/>
  <c r="B94" i="15" s="1"/>
  <c r="B95" i="15" s="1"/>
  <c r="B96" i="15" s="1"/>
  <c r="B97" i="15" s="1"/>
  <c r="B98" i="15" s="1"/>
  <c r="B99" i="15" s="1"/>
  <c r="B100" i="15" s="1"/>
  <c r="B101" i="15" s="1"/>
  <c r="B102" i="15" s="1"/>
  <c r="B103" i="15" s="1"/>
  <c r="B104" i="15" s="1"/>
  <c r="B105" i="15" s="1"/>
  <c r="B106" i="15" s="1"/>
  <c r="B107" i="15" s="1"/>
  <c r="B108" i="15" s="1"/>
  <c r="B109" i="15" s="1"/>
  <c r="B110" i="15" s="1"/>
  <c r="B111" i="15" s="1"/>
  <c r="B112" i="15" s="1"/>
  <c r="B113" i="15" s="1"/>
  <c r="B114" i="15" s="1"/>
  <c r="B115" i="15" s="1"/>
  <c r="B116" i="15" s="1"/>
  <c r="D9" i="9"/>
  <c r="I9" i="9"/>
  <c r="H9" i="9"/>
  <c r="G9" i="9"/>
  <c r="F9" i="9"/>
  <c r="E9" i="9"/>
  <c r="F12" i="17" l="1"/>
  <c r="E13" i="17" s="1"/>
  <c r="F13" i="17" s="1"/>
  <c r="C24" i="15"/>
  <c r="S12" i="7"/>
  <c r="C25" i="15"/>
  <c r="C17" i="15"/>
  <c r="W8" i="15"/>
  <c r="Y7" i="15"/>
  <c r="C35" i="15"/>
  <c r="AD8" i="15"/>
  <c r="AE8" i="15" s="1"/>
  <c r="AF8" i="15" s="1"/>
  <c r="AG8" i="15" s="1"/>
  <c r="AH8" i="15" s="1"/>
  <c r="AI8" i="15" s="1"/>
  <c r="AJ8" i="15" s="1"/>
  <c r="AK8" i="15" s="1"/>
  <c r="AL8" i="15" s="1"/>
  <c r="C101" i="15"/>
  <c r="C74" i="15"/>
  <c r="C73" i="15"/>
  <c r="C53" i="15"/>
  <c r="C105" i="15"/>
  <c r="C26" i="15"/>
  <c r="C77" i="15"/>
  <c r="C113" i="15"/>
  <c r="C61" i="15"/>
  <c r="C85" i="15"/>
  <c r="C40" i="15"/>
  <c r="C109" i="15"/>
  <c r="C41" i="15"/>
  <c r="C29" i="15"/>
  <c r="C18" i="15"/>
  <c r="C32" i="15"/>
  <c r="C43" i="15"/>
  <c r="C65" i="15"/>
  <c r="C89" i="15"/>
  <c r="C50" i="15"/>
  <c r="C37" i="15"/>
  <c r="C57" i="15"/>
  <c r="C58" i="15"/>
  <c r="C19" i="15"/>
  <c r="C33" i="15"/>
  <c r="C45" i="15"/>
  <c r="C66" i="15"/>
  <c r="C93" i="15"/>
  <c r="C27" i="15"/>
  <c r="C81" i="15"/>
  <c r="C42" i="15"/>
  <c r="C21" i="15"/>
  <c r="C34" i="15"/>
  <c r="C49" i="15"/>
  <c r="C69" i="15"/>
  <c r="C97" i="15"/>
  <c r="C22" i="15"/>
  <c r="C30" i="15"/>
  <c r="C38" i="15"/>
  <c r="C46" i="15"/>
  <c r="C54" i="15"/>
  <c r="C62" i="15"/>
  <c r="C70" i="15"/>
  <c r="C78" i="15"/>
  <c r="C86" i="15"/>
  <c r="C94" i="15"/>
  <c r="C102" i="15"/>
  <c r="C110" i="15"/>
  <c r="C23" i="15"/>
  <c r="C31" i="15"/>
  <c r="C39" i="15"/>
  <c r="C47" i="15"/>
  <c r="C55" i="15"/>
  <c r="C63" i="15"/>
  <c r="C71" i="15"/>
  <c r="C79" i="15"/>
  <c r="C87" i="15"/>
  <c r="C95" i="15"/>
  <c r="C103" i="15"/>
  <c r="C111" i="15"/>
  <c r="C48" i="15"/>
  <c r="C56" i="15"/>
  <c r="C64" i="15"/>
  <c r="C72" i="15"/>
  <c r="C80" i="15"/>
  <c r="C88" i="15"/>
  <c r="C96" i="15"/>
  <c r="C104" i="15"/>
  <c r="C112" i="15"/>
  <c r="C82" i="15"/>
  <c r="C90" i="15"/>
  <c r="C98" i="15"/>
  <c r="C106" i="15"/>
  <c r="C114" i="15"/>
  <c r="C51" i="15"/>
  <c r="C59" i="15"/>
  <c r="C67" i="15"/>
  <c r="C75" i="15"/>
  <c r="C83" i="15"/>
  <c r="C91" i="15"/>
  <c r="C99" i="15"/>
  <c r="C107" i="15"/>
  <c r="C115" i="15"/>
  <c r="C20" i="15"/>
  <c r="C28" i="15"/>
  <c r="C36" i="15"/>
  <c r="C44" i="15"/>
  <c r="C52" i="15"/>
  <c r="C60" i="15"/>
  <c r="C68" i="15"/>
  <c r="C76" i="15"/>
  <c r="C84" i="15"/>
  <c r="C92" i="15"/>
  <c r="C100" i="15"/>
  <c r="C108" i="15"/>
  <c r="H4" i="17"/>
  <c r="H5" i="17" s="1"/>
  <c r="F4" i="17"/>
  <c r="F5" i="17" s="1"/>
  <c r="G4" i="17"/>
  <c r="G5" i="17" s="1"/>
  <c r="BF11" i="15"/>
  <c r="W9" i="15"/>
  <c r="BG11" i="15"/>
  <c r="BK11" i="15"/>
  <c r="I5" i="17" l="1"/>
  <c r="J6" i="17" s="1"/>
  <c r="Y8" i="15"/>
  <c r="Y9" i="15" s="1"/>
  <c r="E14" i="17"/>
  <c r="F14" i="17" s="1"/>
  <c r="W10" i="15"/>
  <c r="BI11" i="15" s="1"/>
  <c r="BH11" i="15"/>
  <c r="I7" i="17" l="1"/>
  <c r="Y10" i="15"/>
  <c r="Y11" i="15" s="1"/>
  <c r="E15" i="17"/>
  <c r="F15" i="17" s="1"/>
  <c r="F16" i="17" s="1"/>
  <c r="B2" i="16"/>
  <c r="Z7" i="7" l="1"/>
  <c r="F2" i="11"/>
  <c r="K6" i="11"/>
  <c r="J6" i="11"/>
  <c r="I6" i="11"/>
  <c r="H6" i="11"/>
  <c r="G6" i="11"/>
  <c r="F6" i="11"/>
  <c r="A12" i="7"/>
  <c r="A13" i="7" s="1"/>
  <c r="C11" i="7"/>
  <c r="B11" i="7"/>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AA7" i="7" l="1"/>
  <c r="AB7" i="7" s="1"/>
  <c r="Z12" i="7"/>
  <c r="C12" i="7"/>
  <c r="W12" i="7" s="1"/>
  <c r="C13" i="7"/>
  <c r="A14" i="7"/>
  <c r="A15" i="7" s="1"/>
  <c r="A16" i="7" s="1"/>
  <c r="AB120" i="12"/>
  <c r="AB119" i="12"/>
  <c r="AB118" i="12"/>
  <c r="AB117" i="12"/>
  <c r="AB115" i="12"/>
  <c r="AB114" i="12"/>
  <c r="AB113" i="12"/>
  <c r="AB112" i="12"/>
  <c r="AB111" i="12"/>
  <c r="AK5" i="12" s="1"/>
  <c r="AB110" i="12"/>
  <c r="AB108" i="12"/>
  <c r="AA1" i="12" s="1"/>
  <c r="O120" i="12"/>
  <c r="O119" i="12"/>
  <c r="O118" i="12"/>
  <c r="O117" i="12"/>
  <c r="O115" i="12"/>
  <c r="O114" i="12"/>
  <c r="O113" i="12"/>
  <c r="O112" i="12"/>
  <c r="O111" i="12"/>
  <c r="O110" i="12"/>
  <c r="O108" i="12"/>
  <c r="N1" i="12" s="1"/>
  <c r="AI6" i="12" l="1"/>
  <c r="C15" i="7"/>
  <c r="C14" i="7"/>
  <c r="A17" i="7"/>
  <c r="C16" i="7"/>
  <c r="O116" i="12"/>
  <c r="AB116" i="12"/>
  <c r="K5" i="11"/>
  <c r="A73" i="13"/>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B73" i="13"/>
  <c r="AX2" i="7"/>
  <c r="AW9" i="7" s="1"/>
  <c r="AP2" i="7"/>
  <c r="AO9" i="7" s="1"/>
  <c r="AI7" i="7"/>
  <c r="AJ7" i="7" s="1"/>
  <c r="AH2" i="7"/>
  <c r="AG9" i="7" s="1"/>
  <c r="Z2" i="7"/>
  <c r="Y9" i="7" s="1"/>
  <c r="Z4" i="7"/>
  <c r="Y12" i="7" s="1"/>
  <c r="I5" i="11"/>
  <c r="J5" i="11"/>
  <c r="H5" i="11"/>
  <c r="G5" i="11"/>
  <c r="F5" i="11"/>
  <c r="K4" i="11"/>
  <c r="I4" i="11"/>
  <c r="J4" i="11"/>
  <c r="G4" i="11"/>
  <c r="F4" i="11"/>
  <c r="I3" i="11"/>
  <c r="J3" i="11"/>
  <c r="H3" i="11"/>
  <c r="K2" i="11"/>
  <c r="I2" i="11"/>
  <c r="J2" i="11"/>
  <c r="H2" i="11"/>
  <c r="G2" i="11"/>
  <c r="J7" i="9"/>
  <c r="H7" i="9"/>
  <c r="I7" i="9"/>
  <c r="G7" i="9"/>
  <c r="F7" i="9"/>
  <c r="J6" i="9"/>
  <c r="H6" i="9"/>
  <c r="I6" i="9"/>
  <c r="F6" i="9"/>
  <c r="E6" i="9"/>
  <c r="D6" i="9"/>
  <c r="J5" i="9"/>
  <c r="H5" i="9"/>
  <c r="I5" i="9"/>
  <c r="G5" i="9"/>
  <c r="F5" i="9"/>
  <c r="E5" i="9"/>
  <c r="D5" i="9"/>
  <c r="J4" i="9"/>
  <c r="H4" i="9"/>
  <c r="I4" i="9"/>
  <c r="G4" i="9"/>
  <c r="F4" i="9"/>
  <c r="E4" i="9"/>
  <c r="D4" i="9"/>
  <c r="J3" i="9"/>
  <c r="H3" i="9"/>
  <c r="I3" i="9"/>
  <c r="F3" i="9"/>
  <c r="D2" i="9"/>
  <c r="J9" i="9"/>
  <c r="E7" i="9"/>
  <c r="C10" i="9"/>
  <c r="C7" i="11"/>
  <c r="C5" i="12"/>
  <c r="B74" i="13" l="1"/>
  <c r="B75" i="13" s="1"/>
  <c r="B76" i="13" s="1"/>
  <c r="B77" i="13" s="1"/>
  <c r="B78" i="13" s="1"/>
  <c r="B79" i="13" s="1"/>
  <c r="B80" i="13" s="1"/>
  <c r="B81" i="13" s="1"/>
  <c r="B82" i="13" s="1"/>
  <c r="B83" i="13" s="1"/>
  <c r="B84" i="13" s="1"/>
  <c r="B85" i="13" s="1"/>
  <c r="B86" i="13" s="1"/>
  <c r="B87" i="13" s="1"/>
  <c r="B88" i="13" s="1"/>
  <c r="B89" i="13" s="1"/>
  <c r="B90" i="13" s="1"/>
  <c r="B91" i="13" s="1"/>
  <c r="B92" i="13" s="1"/>
  <c r="B93" i="13" s="1"/>
  <c r="B94" i="13" s="1"/>
  <c r="B95" i="13" s="1"/>
  <c r="B96" i="13" s="1"/>
  <c r="B97" i="13" s="1"/>
  <c r="B98" i="13" s="1"/>
  <c r="B99" i="13" s="1"/>
  <c r="B100" i="13" s="1"/>
  <c r="B101" i="13" s="1"/>
  <c r="B102" i="13" s="1"/>
  <c r="B103" i="13" s="1"/>
  <c r="B104" i="13" s="1"/>
  <c r="B105" i="13" s="1"/>
  <c r="B106" i="13" s="1"/>
  <c r="B107" i="13" s="1"/>
  <c r="B108" i="13" s="1"/>
  <c r="B109" i="13" s="1"/>
  <c r="B110" i="13" s="1"/>
  <c r="B111" i="13" s="1"/>
  <c r="B112" i="13" s="1"/>
  <c r="B113" i="13" s="1"/>
  <c r="B114" i="13" s="1"/>
  <c r="B115" i="13" s="1"/>
  <c r="B116" i="13" s="1"/>
  <c r="B117" i="13" s="1"/>
  <c r="B118" i="13" s="1"/>
  <c r="B119" i="13" s="1"/>
  <c r="B120" i="13" s="1"/>
  <c r="B121" i="13" s="1"/>
  <c r="B122" i="13" s="1"/>
  <c r="B123" i="13" s="1"/>
  <c r="B124" i="13" s="1"/>
  <c r="B125" i="13" s="1"/>
  <c r="B126" i="13" s="1"/>
  <c r="B127" i="13" s="1"/>
  <c r="B128" i="13" s="1"/>
  <c r="B129" i="13" s="1"/>
  <c r="B130" i="13" s="1"/>
  <c r="B131" i="13" s="1"/>
  <c r="B132" i="13" s="1"/>
  <c r="B133" i="13" s="1"/>
  <c r="B134" i="13" s="1"/>
  <c r="B135" i="13" s="1"/>
  <c r="B136" i="13" s="1"/>
  <c r="B137" i="13" s="1"/>
  <c r="B138" i="13" s="1"/>
  <c r="B139" i="13" s="1"/>
  <c r="B140" i="13" s="1"/>
  <c r="B141" i="13" s="1"/>
  <c r="B142" i="13" s="1"/>
  <c r="B143" i="13" s="1"/>
  <c r="B144" i="13" s="1"/>
  <c r="B145" i="13" s="1"/>
  <c r="B146" i="13" s="1"/>
  <c r="B147" i="13" s="1"/>
  <c r="B148" i="13" s="1"/>
  <c r="B149" i="13" s="1"/>
  <c r="B150" i="13" s="1"/>
  <c r="B151" i="13" s="1"/>
  <c r="B152" i="13" s="1"/>
  <c r="B153" i="13" s="1"/>
  <c r="B154" i="13" s="1"/>
  <c r="B155" i="13" s="1"/>
  <c r="B156" i="13" s="1"/>
  <c r="B157" i="13" s="1"/>
  <c r="B158" i="13" s="1"/>
  <c r="B159" i="13" s="1"/>
  <c r="B160" i="13" s="1"/>
  <c r="B161" i="13" s="1"/>
  <c r="B162" i="13" s="1"/>
  <c r="B163" i="13" s="1"/>
  <c r="AA12" i="7"/>
  <c r="AD12" i="7"/>
  <c r="AH5" i="7"/>
  <c r="AH12" i="7" s="1"/>
  <c r="AH4" i="7"/>
  <c r="P12" i="7"/>
  <c r="D64" i="13" s="1"/>
  <c r="A18" i="7"/>
  <c r="C17" i="7"/>
  <c r="AS7" i="7"/>
  <c r="AT7" i="7" s="1"/>
  <c r="AU7" i="7" s="1"/>
  <c r="AK7" i="7"/>
  <c r="AL7" i="7" s="1"/>
  <c r="AM7" i="7" s="1"/>
  <c r="B166" i="13" l="1"/>
  <c r="AG12" i="7"/>
  <c r="BA7" i="7"/>
  <c r="BB7" i="7" s="1"/>
  <c r="BC7" i="7" s="1"/>
  <c r="AC7" i="7"/>
  <c r="A19" i="7"/>
  <c r="C18" i="7"/>
  <c r="AI12" i="7" l="1"/>
  <c r="AL12" i="7"/>
  <c r="AD7" i="7"/>
  <c r="AE7" i="7" s="1"/>
  <c r="A20" i="7"/>
  <c r="C19" i="7"/>
  <c r="I11" i="7"/>
  <c r="A21" i="7" l="1"/>
  <c r="C20" i="7"/>
  <c r="F11" i="7"/>
  <c r="A22" i="7" l="1"/>
  <c r="C21" i="7"/>
  <c r="A23" i="7" l="1"/>
  <c r="C22" i="7"/>
  <c r="A6" i="12"/>
  <c r="B5" i="12"/>
  <c r="AA5" i="12" s="1"/>
  <c r="AB5" i="12" s="1"/>
  <c r="A8" i="11"/>
  <c r="B7" i="11"/>
  <c r="B10" i="9"/>
  <c r="A11" i="9"/>
  <c r="C11" i="9" s="1"/>
  <c r="C23" i="7" l="1"/>
  <c r="A24" i="7"/>
  <c r="A12" i="9"/>
  <c r="A13" i="9" s="1"/>
  <c r="A9" i="11"/>
  <c r="C8" i="11"/>
  <c r="B11" i="9"/>
  <c r="B12" i="9" s="1"/>
  <c r="A10" i="11"/>
  <c r="C9" i="11"/>
  <c r="N5" i="12"/>
  <c r="A7" i="12"/>
  <c r="C6" i="12"/>
  <c r="B6" i="12"/>
  <c r="B8" i="11"/>
  <c r="AA6" i="12" l="1"/>
  <c r="F8" i="11"/>
  <c r="L8" i="11"/>
  <c r="N8" i="11"/>
  <c r="M8" i="11"/>
  <c r="O8" i="11"/>
  <c r="C24" i="7"/>
  <c r="A25" i="7"/>
  <c r="C12" i="9"/>
  <c r="J12" i="9" s="1"/>
  <c r="A14" i="9"/>
  <c r="C13" i="9"/>
  <c r="J11" i="9"/>
  <c r="I11" i="9"/>
  <c r="G11" i="9"/>
  <c r="E11" i="9"/>
  <c r="F11" i="9"/>
  <c r="H17" i="15" s="1"/>
  <c r="D11" i="9"/>
  <c r="H11" i="9"/>
  <c r="A11" i="11"/>
  <c r="C10" i="11"/>
  <c r="I8" i="11"/>
  <c r="J8" i="11"/>
  <c r="H8" i="11"/>
  <c r="G8" i="11"/>
  <c r="K8" i="11"/>
  <c r="N6" i="12"/>
  <c r="A8" i="12"/>
  <c r="C7" i="12"/>
  <c r="G11" i="7"/>
  <c r="B9" i="11"/>
  <c r="X5" i="12"/>
  <c r="B7" i="12"/>
  <c r="B13" i="9"/>
  <c r="Q6" i="12" l="1"/>
  <c r="AA7" i="12"/>
  <c r="C64" i="13"/>
  <c r="U6" i="12"/>
  <c r="T6" i="12"/>
  <c r="R6" i="12"/>
  <c r="E17" i="15"/>
  <c r="M11" i="9"/>
  <c r="F9" i="11"/>
  <c r="L9" i="11"/>
  <c r="M9" i="11"/>
  <c r="O9" i="11"/>
  <c r="N9" i="11"/>
  <c r="E8" i="11"/>
  <c r="G64" i="13" s="1"/>
  <c r="I12" i="9"/>
  <c r="A26" i="7"/>
  <c r="C25" i="7"/>
  <c r="H12" i="9"/>
  <c r="E12" i="9"/>
  <c r="D12" i="9"/>
  <c r="F12" i="9"/>
  <c r="H18" i="15" s="1"/>
  <c r="G12" i="9"/>
  <c r="A15" i="9"/>
  <c r="C14" i="9"/>
  <c r="J13" i="9"/>
  <c r="H13" i="9"/>
  <c r="D13" i="9"/>
  <c r="I13" i="9"/>
  <c r="G13" i="9"/>
  <c r="F13" i="9"/>
  <c r="H19" i="15" s="1"/>
  <c r="E13" i="9"/>
  <c r="A12" i="11"/>
  <c r="C11" i="11"/>
  <c r="K9" i="11"/>
  <c r="I9" i="11"/>
  <c r="J9" i="11"/>
  <c r="H9" i="11"/>
  <c r="G9" i="11"/>
  <c r="N7" i="12"/>
  <c r="W6" i="12" s="1"/>
  <c r="A9" i="12"/>
  <c r="C8" i="12"/>
  <c r="S6" i="12"/>
  <c r="B10" i="11"/>
  <c r="V6" i="12"/>
  <c r="I6" i="12" s="1"/>
  <c r="T17" i="15" s="1"/>
  <c r="O5" i="12"/>
  <c r="E5" i="12" s="1"/>
  <c r="M63" i="13" s="1"/>
  <c r="Q7" i="12"/>
  <c r="B8" i="12"/>
  <c r="B14" i="9"/>
  <c r="AA8" i="12" l="1"/>
  <c r="C65" i="13"/>
  <c r="C66" i="13"/>
  <c r="E19" i="15"/>
  <c r="E18" i="15"/>
  <c r="E9" i="11"/>
  <c r="G65" i="13" s="1"/>
  <c r="L10" i="11"/>
  <c r="N10" i="11"/>
  <c r="M10" i="11"/>
  <c r="O10" i="11"/>
  <c r="B11" i="11"/>
  <c r="G11" i="11" s="1"/>
  <c r="F10" i="11"/>
  <c r="A27" i="7"/>
  <c r="C26" i="7"/>
  <c r="T7" i="12"/>
  <c r="A16" i="9"/>
  <c r="C15" i="9"/>
  <c r="H14" i="9"/>
  <c r="I14" i="9"/>
  <c r="F14" i="9"/>
  <c r="H20" i="15" s="1"/>
  <c r="G14" i="9"/>
  <c r="D14" i="9"/>
  <c r="E14" i="9"/>
  <c r="J14" i="9"/>
  <c r="A13" i="11"/>
  <c r="C12" i="11"/>
  <c r="K10" i="11"/>
  <c r="I10" i="11"/>
  <c r="J10" i="11"/>
  <c r="H10" i="11"/>
  <c r="G10" i="11"/>
  <c r="N8" i="12"/>
  <c r="A10" i="12"/>
  <c r="C9" i="12"/>
  <c r="S7" i="12"/>
  <c r="U7" i="12"/>
  <c r="Q8" i="12"/>
  <c r="R7" i="12"/>
  <c r="B15" i="9"/>
  <c r="B9" i="12"/>
  <c r="AA9" i="12" l="1"/>
  <c r="C67" i="13"/>
  <c r="B12" i="11"/>
  <c r="F12" i="11" s="1"/>
  <c r="K11" i="11"/>
  <c r="H11" i="11"/>
  <c r="E10" i="11"/>
  <c r="G66" i="13" s="1"/>
  <c r="F11" i="11"/>
  <c r="N11" i="11"/>
  <c r="L11" i="11"/>
  <c r="M11" i="11"/>
  <c r="O11" i="11"/>
  <c r="J11" i="11"/>
  <c r="I11" i="11"/>
  <c r="E20" i="15"/>
  <c r="A28" i="7"/>
  <c r="C27" i="7"/>
  <c r="T8" i="12"/>
  <c r="A17" i="9"/>
  <c r="C16" i="9"/>
  <c r="D15" i="9"/>
  <c r="F15" i="9"/>
  <c r="H21" i="15" s="1"/>
  <c r="G15" i="9"/>
  <c r="I15" i="9"/>
  <c r="H15" i="9"/>
  <c r="J15" i="9"/>
  <c r="E15" i="9"/>
  <c r="A14" i="11"/>
  <c r="C13" i="11"/>
  <c r="A11" i="12"/>
  <c r="C10" i="12"/>
  <c r="N9" i="12"/>
  <c r="U8" i="12"/>
  <c r="S8" i="12"/>
  <c r="R8" i="12"/>
  <c r="Q9" i="12"/>
  <c r="B10" i="12"/>
  <c r="AA10" i="12" s="1"/>
  <c r="B16" i="9"/>
  <c r="C68" i="13" l="1"/>
  <c r="K12" i="11"/>
  <c r="H12" i="11"/>
  <c r="I12" i="11"/>
  <c r="B13" i="11"/>
  <c r="N13" i="11" s="1"/>
  <c r="G12" i="11"/>
  <c r="N12" i="11"/>
  <c r="L12" i="11"/>
  <c r="J12" i="11"/>
  <c r="O12" i="11"/>
  <c r="M12" i="11"/>
  <c r="E11" i="11"/>
  <c r="G67" i="13" s="1"/>
  <c r="E21" i="15"/>
  <c r="A29" i="7"/>
  <c r="C28" i="7"/>
  <c r="T9" i="12"/>
  <c r="A18" i="9"/>
  <c r="C17" i="9"/>
  <c r="G16" i="9"/>
  <c r="J16" i="9"/>
  <c r="E16" i="9"/>
  <c r="H16" i="9"/>
  <c r="I16" i="9"/>
  <c r="F16" i="9"/>
  <c r="H22" i="15" s="1"/>
  <c r="D16" i="9"/>
  <c r="A15" i="11"/>
  <c r="C14" i="11"/>
  <c r="N10" i="12"/>
  <c r="A12" i="12"/>
  <c r="C12" i="12" s="1"/>
  <c r="C11" i="12"/>
  <c r="U9" i="12"/>
  <c r="S9" i="12"/>
  <c r="R9" i="12"/>
  <c r="B11" i="12"/>
  <c r="B17" i="9"/>
  <c r="K13" i="11" l="1"/>
  <c r="I13" i="11"/>
  <c r="F13" i="11"/>
  <c r="L13" i="11"/>
  <c r="J13" i="11"/>
  <c r="G13" i="11"/>
  <c r="M13" i="11"/>
  <c r="O13" i="11"/>
  <c r="B14" i="11"/>
  <c r="M14" i="11" s="1"/>
  <c r="H13" i="11"/>
  <c r="E12" i="11"/>
  <c r="G68" i="13" s="1"/>
  <c r="E22" i="15"/>
  <c r="A30" i="7"/>
  <c r="C29" i="7"/>
  <c r="A19" i="9"/>
  <c r="C18" i="9"/>
  <c r="F17" i="9"/>
  <c r="H23" i="15" s="1"/>
  <c r="D17" i="9"/>
  <c r="J17" i="9"/>
  <c r="G17" i="9"/>
  <c r="E17" i="9"/>
  <c r="I17" i="9"/>
  <c r="H17" i="9"/>
  <c r="A16" i="11"/>
  <c r="C15" i="11"/>
  <c r="A13" i="12"/>
  <c r="B12" i="12"/>
  <c r="Q10" i="12"/>
  <c r="B18" i="9"/>
  <c r="G14" i="11" l="1"/>
  <c r="I14" i="11"/>
  <c r="B15" i="11"/>
  <c r="M15" i="11" s="1"/>
  <c r="F14" i="11"/>
  <c r="J14" i="11"/>
  <c r="K14" i="11"/>
  <c r="O14" i="11"/>
  <c r="H14" i="11"/>
  <c r="N14" i="11"/>
  <c r="L14" i="11"/>
  <c r="E13" i="11"/>
  <c r="E23" i="15"/>
  <c r="A31" i="7"/>
  <c r="C30" i="7"/>
  <c r="A20" i="9"/>
  <c r="C19" i="9"/>
  <c r="I18" i="9"/>
  <c r="G18" i="9"/>
  <c r="J18" i="9"/>
  <c r="F18" i="9"/>
  <c r="H24" i="15" s="1"/>
  <c r="E18" i="9"/>
  <c r="D18" i="9"/>
  <c r="H18" i="9"/>
  <c r="A17" i="11"/>
  <c r="C16" i="11"/>
  <c r="B13" i="12"/>
  <c r="A14" i="12"/>
  <c r="C13" i="12"/>
  <c r="S10" i="12"/>
  <c r="U10" i="12"/>
  <c r="T10" i="12"/>
  <c r="R10" i="12"/>
  <c r="B19" i="9"/>
  <c r="K15" i="11" l="1"/>
  <c r="B16" i="11"/>
  <c r="K16" i="11" s="1"/>
  <c r="G15" i="11"/>
  <c r="I15" i="11"/>
  <c r="F15" i="11"/>
  <c r="L15" i="11"/>
  <c r="H15" i="11"/>
  <c r="J15" i="11"/>
  <c r="O15" i="11"/>
  <c r="N15" i="11"/>
  <c r="E14" i="11"/>
  <c r="M16" i="11"/>
  <c r="E24" i="15"/>
  <c r="C31" i="7"/>
  <c r="A32" i="7"/>
  <c r="B14" i="12"/>
  <c r="A21" i="9"/>
  <c r="C20" i="9"/>
  <c r="H19" i="9"/>
  <c r="I19" i="9"/>
  <c r="J19" i="9"/>
  <c r="D19" i="9"/>
  <c r="G19" i="9"/>
  <c r="F19" i="9"/>
  <c r="H25" i="15" s="1"/>
  <c r="E19" i="9"/>
  <c r="A18" i="11"/>
  <c r="C17" i="11"/>
  <c r="G16" i="11"/>
  <c r="F16" i="11"/>
  <c r="I16" i="11"/>
  <c r="J16" i="11"/>
  <c r="H16" i="11"/>
  <c r="A15" i="12"/>
  <c r="C14" i="12"/>
  <c r="B20" i="9"/>
  <c r="B17" i="11"/>
  <c r="O16" i="11" l="1"/>
  <c r="N16" i="11"/>
  <c r="L16" i="11"/>
  <c r="E15" i="11"/>
  <c r="N17" i="11"/>
  <c r="L17" i="11"/>
  <c r="M17" i="11"/>
  <c r="O17" i="11"/>
  <c r="E25" i="15"/>
  <c r="C32" i="7"/>
  <c r="A33" i="7"/>
  <c r="B15" i="12"/>
  <c r="A22" i="9"/>
  <c r="C21" i="9"/>
  <c r="J20" i="9"/>
  <c r="H20" i="9"/>
  <c r="D20" i="9"/>
  <c r="F20" i="9"/>
  <c r="H26" i="15" s="1"/>
  <c r="I20" i="9"/>
  <c r="G20" i="9"/>
  <c r="E20" i="9"/>
  <c r="A19" i="11"/>
  <c r="C18" i="11"/>
  <c r="H17" i="11"/>
  <c r="G17" i="11"/>
  <c r="F17" i="11"/>
  <c r="J17" i="11"/>
  <c r="I17" i="11"/>
  <c r="K17" i="11"/>
  <c r="A16" i="12"/>
  <c r="C15" i="12"/>
  <c r="B21" i="9"/>
  <c r="B18" i="11"/>
  <c r="E16" i="11" l="1"/>
  <c r="G21" i="9"/>
  <c r="E17" i="11"/>
  <c r="M18" i="11"/>
  <c r="O18" i="11"/>
  <c r="L18" i="11"/>
  <c r="N18" i="11"/>
  <c r="E26" i="15"/>
  <c r="A34" i="7"/>
  <c r="C33" i="7"/>
  <c r="B16" i="12"/>
  <c r="A23" i="9"/>
  <c r="C22" i="9"/>
  <c r="J21" i="9"/>
  <c r="D21" i="9"/>
  <c r="H21" i="9"/>
  <c r="F21" i="9"/>
  <c r="H27" i="15" s="1"/>
  <c r="I21" i="9"/>
  <c r="E21" i="9"/>
  <c r="A20" i="11"/>
  <c r="C19" i="11"/>
  <c r="J18" i="11"/>
  <c r="H18" i="11"/>
  <c r="G18" i="11"/>
  <c r="I18" i="11"/>
  <c r="F18" i="11"/>
  <c r="K18" i="11"/>
  <c r="A17" i="12"/>
  <c r="C16" i="12"/>
  <c r="B22" i="9"/>
  <c r="B19" i="11"/>
  <c r="E18" i="11" l="1"/>
  <c r="N19" i="11"/>
  <c r="L19" i="11"/>
  <c r="M19" i="11"/>
  <c r="O19" i="11"/>
  <c r="E27" i="15"/>
  <c r="A35" i="7"/>
  <c r="C34" i="7"/>
  <c r="B17" i="12"/>
  <c r="A24" i="9"/>
  <c r="C23" i="9"/>
  <c r="G22" i="9"/>
  <c r="E22" i="9"/>
  <c r="F22" i="9"/>
  <c r="H28" i="15" s="1"/>
  <c r="D22" i="9"/>
  <c r="J22" i="9"/>
  <c r="H22" i="9"/>
  <c r="I22" i="9"/>
  <c r="A21" i="11"/>
  <c r="C20" i="11"/>
  <c r="I19" i="11"/>
  <c r="J19" i="11"/>
  <c r="H19" i="11"/>
  <c r="F19" i="11"/>
  <c r="K19" i="11"/>
  <c r="G19" i="11"/>
  <c r="A18" i="12"/>
  <c r="C17" i="12"/>
  <c r="B23" i="9"/>
  <c r="B20" i="11"/>
  <c r="E19" i="11" l="1"/>
  <c r="N20" i="11"/>
  <c r="M20" i="11"/>
  <c r="O20" i="11"/>
  <c r="L20" i="11"/>
  <c r="E28" i="15"/>
  <c r="A36" i="7"/>
  <c r="C35" i="7"/>
  <c r="B18" i="12"/>
  <c r="B19" i="12" s="1"/>
  <c r="A25" i="9"/>
  <c r="C24" i="9"/>
  <c r="E23" i="9"/>
  <c r="F23" i="9"/>
  <c r="H29" i="15" s="1"/>
  <c r="H23" i="9"/>
  <c r="D23" i="9"/>
  <c r="J23" i="9"/>
  <c r="I23" i="9"/>
  <c r="G23" i="9"/>
  <c r="A22" i="11"/>
  <c r="C21" i="11"/>
  <c r="K20" i="11"/>
  <c r="I20" i="11"/>
  <c r="J20" i="11"/>
  <c r="G20" i="11"/>
  <c r="H20" i="11"/>
  <c r="F20" i="11"/>
  <c r="A19" i="12"/>
  <c r="C18" i="12"/>
  <c r="B24" i="9"/>
  <c r="B21" i="11"/>
  <c r="E20" i="11" l="1"/>
  <c r="O21" i="11"/>
  <c r="N21" i="11"/>
  <c r="L21" i="11"/>
  <c r="M21" i="11"/>
  <c r="E29" i="15"/>
  <c r="A37" i="7"/>
  <c r="C36" i="7"/>
  <c r="A26" i="9"/>
  <c r="C25" i="9"/>
  <c r="F24" i="9"/>
  <c r="H30" i="15" s="1"/>
  <c r="E24" i="9"/>
  <c r="H24" i="9"/>
  <c r="I24" i="9"/>
  <c r="G24" i="9"/>
  <c r="D24" i="9"/>
  <c r="J24" i="9"/>
  <c r="A23" i="11"/>
  <c r="C22" i="11"/>
  <c r="K21" i="11"/>
  <c r="I21" i="11"/>
  <c r="H21" i="11"/>
  <c r="G21" i="11"/>
  <c r="J21" i="11"/>
  <c r="F21" i="11"/>
  <c r="A20" i="12"/>
  <c r="C19" i="12"/>
  <c r="B25" i="9"/>
  <c r="B20" i="12"/>
  <c r="B22" i="11"/>
  <c r="L22" i="11" l="1"/>
  <c r="N22" i="11"/>
  <c r="M22" i="11"/>
  <c r="O22" i="11"/>
  <c r="E21" i="11"/>
  <c r="E30" i="15"/>
  <c r="A38" i="7"/>
  <c r="C37" i="7"/>
  <c r="A27" i="9"/>
  <c r="C26" i="9"/>
  <c r="G25" i="9"/>
  <c r="I25" i="9"/>
  <c r="J25" i="9"/>
  <c r="F25" i="9"/>
  <c r="H31" i="15" s="1"/>
  <c r="D25" i="9"/>
  <c r="H25" i="9"/>
  <c r="E25" i="9"/>
  <c r="A24" i="11"/>
  <c r="C23" i="11"/>
  <c r="K22" i="11"/>
  <c r="J22" i="11"/>
  <c r="F22" i="11"/>
  <c r="I22" i="11"/>
  <c r="H22" i="11"/>
  <c r="G22" i="11"/>
  <c r="A21" i="12"/>
  <c r="C20" i="12"/>
  <c r="B26" i="9"/>
  <c r="B21" i="12"/>
  <c r="B23" i="11"/>
  <c r="E22" i="11" l="1"/>
  <c r="N23" i="11"/>
  <c r="L23" i="11"/>
  <c r="M23" i="11"/>
  <c r="O23" i="11"/>
  <c r="E31" i="15"/>
  <c r="A39" i="7"/>
  <c r="C38" i="7"/>
  <c r="A28" i="9"/>
  <c r="C27" i="9"/>
  <c r="F26" i="9"/>
  <c r="H32" i="15" s="1"/>
  <c r="E26" i="9"/>
  <c r="J26" i="9"/>
  <c r="D26" i="9"/>
  <c r="H26" i="9"/>
  <c r="I26" i="9"/>
  <c r="G26" i="9"/>
  <c r="A25" i="11"/>
  <c r="C24" i="11"/>
  <c r="F23" i="11"/>
  <c r="I23" i="11"/>
  <c r="G23" i="11"/>
  <c r="J23" i="11"/>
  <c r="H23" i="11"/>
  <c r="K23" i="11"/>
  <c r="A22" i="12"/>
  <c r="C21" i="12"/>
  <c r="B27" i="9"/>
  <c r="B22" i="12"/>
  <c r="B24" i="11"/>
  <c r="L24" i="11" l="1"/>
  <c r="N24" i="11"/>
  <c r="M24" i="11"/>
  <c r="O24" i="11"/>
  <c r="E23" i="11"/>
  <c r="E32" i="15"/>
  <c r="C39" i="7"/>
  <c r="A40" i="7"/>
  <c r="A29" i="9"/>
  <c r="C28" i="9"/>
  <c r="H27" i="9"/>
  <c r="I27" i="9"/>
  <c r="E27" i="9"/>
  <c r="J27" i="9"/>
  <c r="D27" i="9"/>
  <c r="F27" i="9"/>
  <c r="H33" i="15" s="1"/>
  <c r="G27" i="9"/>
  <c r="A26" i="11"/>
  <c r="C25" i="11"/>
  <c r="G24" i="11"/>
  <c r="F24" i="11"/>
  <c r="K24" i="11"/>
  <c r="H24" i="11"/>
  <c r="J24" i="11"/>
  <c r="I24" i="11"/>
  <c r="A23" i="12"/>
  <c r="C22" i="12"/>
  <c r="B28" i="9"/>
  <c r="B23" i="12"/>
  <c r="B25" i="11"/>
  <c r="E24" i="11" l="1"/>
  <c r="L25" i="11"/>
  <c r="M25" i="11"/>
  <c r="O25" i="11"/>
  <c r="N25" i="11"/>
  <c r="E33" i="15"/>
  <c r="C40" i="7"/>
  <c r="A41" i="7"/>
  <c r="A30" i="9"/>
  <c r="C29" i="9"/>
  <c r="D28" i="9"/>
  <c r="J28" i="9"/>
  <c r="H28" i="9"/>
  <c r="I28" i="9"/>
  <c r="G28" i="9"/>
  <c r="F28" i="9"/>
  <c r="H34" i="15" s="1"/>
  <c r="E28" i="9"/>
  <c r="A27" i="11"/>
  <c r="C26" i="11"/>
  <c r="H25" i="11"/>
  <c r="G25" i="11"/>
  <c r="F25" i="11"/>
  <c r="J25" i="11"/>
  <c r="K25" i="11"/>
  <c r="I25" i="11"/>
  <c r="A24" i="12"/>
  <c r="C23" i="12"/>
  <c r="B29" i="9"/>
  <c r="B24" i="12"/>
  <c r="B26" i="11"/>
  <c r="L26" i="11" l="1"/>
  <c r="N26" i="11"/>
  <c r="M26" i="11"/>
  <c r="O26" i="11"/>
  <c r="E25" i="11"/>
  <c r="E34" i="15"/>
  <c r="A42" i="7"/>
  <c r="C41" i="7"/>
  <c r="A31" i="9"/>
  <c r="C30" i="9"/>
  <c r="J29" i="9"/>
  <c r="H29" i="9"/>
  <c r="I29" i="9"/>
  <c r="D29" i="9"/>
  <c r="G29" i="9"/>
  <c r="F29" i="9"/>
  <c r="H35" i="15" s="1"/>
  <c r="E29" i="9"/>
  <c r="A28" i="11"/>
  <c r="C27" i="11"/>
  <c r="J26" i="11"/>
  <c r="H26" i="11"/>
  <c r="G26" i="11"/>
  <c r="I26" i="11"/>
  <c r="K26" i="11"/>
  <c r="F26" i="11"/>
  <c r="A25" i="12"/>
  <c r="C24" i="12"/>
  <c r="B30" i="9"/>
  <c r="B25" i="12"/>
  <c r="B27" i="11"/>
  <c r="E26" i="11" l="1"/>
  <c r="N27" i="11"/>
  <c r="L27" i="11"/>
  <c r="M27" i="11"/>
  <c r="O27" i="11"/>
  <c r="E35" i="15"/>
  <c r="A43" i="7"/>
  <c r="C42" i="7"/>
  <c r="A32" i="9"/>
  <c r="C31" i="9"/>
  <c r="E30" i="9"/>
  <c r="D30" i="9"/>
  <c r="J30" i="9"/>
  <c r="F30" i="9"/>
  <c r="H36" i="15" s="1"/>
  <c r="H30" i="9"/>
  <c r="G30" i="9"/>
  <c r="I30" i="9"/>
  <c r="A29" i="11"/>
  <c r="C28" i="11"/>
  <c r="I27" i="11"/>
  <c r="J27" i="11"/>
  <c r="H27" i="11"/>
  <c r="F27" i="11"/>
  <c r="K27" i="11"/>
  <c r="G27" i="11"/>
  <c r="A26" i="12"/>
  <c r="C25" i="12"/>
  <c r="B31" i="9"/>
  <c r="B26" i="12"/>
  <c r="B28" i="11"/>
  <c r="M28" i="11" l="1"/>
  <c r="O28" i="11"/>
  <c r="L28" i="11"/>
  <c r="N28" i="11"/>
  <c r="E27" i="11"/>
  <c r="E36" i="15"/>
  <c r="A44" i="7"/>
  <c r="C43" i="7"/>
  <c r="A33" i="9"/>
  <c r="C32" i="9"/>
  <c r="I31" i="9"/>
  <c r="E31" i="9"/>
  <c r="G31" i="9"/>
  <c r="F31" i="9"/>
  <c r="H37" i="15" s="1"/>
  <c r="H31" i="9"/>
  <c r="J31" i="9"/>
  <c r="D31" i="9"/>
  <c r="A30" i="11"/>
  <c r="C29" i="11"/>
  <c r="K28" i="11"/>
  <c r="I28" i="11"/>
  <c r="J28" i="11"/>
  <c r="G28" i="11"/>
  <c r="H28" i="11"/>
  <c r="F28" i="11"/>
  <c r="A27" i="12"/>
  <c r="C26" i="12"/>
  <c r="B32" i="9"/>
  <c r="B27" i="12"/>
  <c r="B29" i="11"/>
  <c r="N29" i="11" l="1"/>
  <c r="L29" i="11"/>
  <c r="M29" i="11"/>
  <c r="O29" i="11"/>
  <c r="E28" i="11"/>
  <c r="E37" i="15"/>
  <c r="A45" i="7"/>
  <c r="C44" i="7"/>
  <c r="A34" i="9"/>
  <c r="C33" i="9"/>
  <c r="E32" i="9"/>
  <c r="G32" i="9"/>
  <c r="F32" i="9"/>
  <c r="H38" i="15" s="1"/>
  <c r="H32" i="9"/>
  <c r="J32" i="9"/>
  <c r="D32" i="9"/>
  <c r="I32" i="9"/>
  <c r="A31" i="11"/>
  <c r="C30" i="11"/>
  <c r="K29" i="11"/>
  <c r="I29" i="11"/>
  <c r="H29" i="11"/>
  <c r="J29" i="11"/>
  <c r="G29" i="11"/>
  <c r="F29" i="11"/>
  <c r="A28" i="12"/>
  <c r="C27" i="12"/>
  <c r="B33" i="9"/>
  <c r="B28" i="12"/>
  <c r="B30" i="11"/>
  <c r="E29" i="11" l="1"/>
  <c r="M30" i="11"/>
  <c r="O30" i="11"/>
  <c r="L30" i="11"/>
  <c r="N30" i="11"/>
  <c r="E38" i="15"/>
  <c r="A46" i="7"/>
  <c r="C45" i="7"/>
  <c r="A35" i="9"/>
  <c r="C34" i="9"/>
  <c r="H33" i="9"/>
  <c r="J33" i="9"/>
  <c r="F33" i="9"/>
  <c r="H39" i="15" s="1"/>
  <c r="I33" i="9"/>
  <c r="G33" i="9"/>
  <c r="E33" i="9"/>
  <c r="D33" i="9"/>
  <c r="A32" i="11"/>
  <c r="C31" i="11"/>
  <c r="K30" i="11"/>
  <c r="J30" i="11"/>
  <c r="F30" i="11"/>
  <c r="H30" i="11"/>
  <c r="I30" i="11"/>
  <c r="G30" i="11"/>
  <c r="A29" i="12"/>
  <c r="C28" i="12"/>
  <c r="B34" i="9"/>
  <c r="B29" i="12"/>
  <c r="B31" i="11"/>
  <c r="L31" i="11" l="1"/>
  <c r="M31" i="11"/>
  <c r="O31" i="11"/>
  <c r="N31" i="11"/>
  <c r="E30" i="11"/>
  <c r="E39" i="15"/>
  <c r="A47" i="7"/>
  <c r="C46" i="7"/>
  <c r="A36" i="9"/>
  <c r="C35" i="9"/>
  <c r="I34" i="9"/>
  <c r="G34" i="9"/>
  <c r="H34" i="9"/>
  <c r="D34" i="9"/>
  <c r="J34" i="9"/>
  <c r="F34" i="9"/>
  <c r="H40" i="15" s="1"/>
  <c r="E34" i="9"/>
  <c r="A33" i="11"/>
  <c r="C32" i="11"/>
  <c r="F31" i="11"/>
  <c r="K31" i="11"/>
  <c r="I31" i="11"/>
  <c r="G31" i="11"/>
  <c r="J31" i="11"/>
  <c r="H31" i="11"/>
  <c r="A30" i="12"/>
  <c r="C29" i="12"/>
  <c r="B35" i="9"/>
  <c r="B30" i="12"/>
  <c r="B32" i="11"/>
  <c r="E31" i="11" l="1"/>
  <c r="M32" i="11"/>
  <c r="O32" i="11"/>
  <c r="L32" i="11"/>
  <c r="N32" i="11"/>
  <c r="E40" i="15"/>
  <c r="C47" i="7"/>
  <c r="A48" i="7"/>
  <c r="A37" i="9"/>
  <c r="C36" i="9"/>
  <c r="J35" i="9"/>
  <c r="I35" i="9"/>
  <c r="D35" i="9"/>
  <c r="H35" i="9"/>
  <c r="E35" i="9"/>
  <c r="F35" i="9"/>
  <c r="H41" i="15" s="1"/>
  <c r="G35" i="9"/>
  <c r="A34" i="11"/>
  <c r="C33" i="11"/>
  <c r="G32" i="11"/>
  <c r="F32" i="11"/>
  <c r="K32" i="11"/>
  <c r="H32" i="11"/>
  <c r="I32" i="11"/>
  <c r="J32" i="11"/>
  <c r="A31" i="12"/>
  <c r="C30" i="12"/>
  <c r="B36" i="9"/>
  <c r="B31" i="12"/>
  <c r="B33" i="11"/>
  <c r="N33" i="11" l="1"/>
  <c r="L33" i="11"/>
  <c r="M33" i="11"/>
  <c r="O33" i="11"/>
  <c r="E32" i="11"/>
  <c r="E41" i="15"/>
  <c r="C48" i="7"/>
  <c r="A49" i="7"/>
  <c r="A38" i="9"/>
  <c r="C37" i="9"/>
  <c r="I36" i="9"/>
  <c r="D36" i="9"/>
  <c r="G36" i="9"/>
  <c r="F36" i="9"/>
  <c r="H42" i="15" s="1"/>
  <c r="E36" i="9"/>
  <c r="J36" i="9"/>
  <c r="H36" i="9"/>
  <c r="A35" i="11"/>
  <c r="C34" i="11"/>
  <c r="H33" i="11"/>
  <c r="G33" i="11"/>
  <c r="F33" i="11"/>
  <c r="J33" i="11"/>
  <c r="I33" i="11"/>
  <c r="K33" i="11"/>
  <c r="A32" i="12"/>
  <c r="C31" i="12"/>
  <c r="B37" i="9"/>
  <c r="B32" i="12"/>
  <c r="B34" i="11"/>
  <c r="E33" i="11" l="1"/>
  <c r="M34" i="11"/>
  <c r="O34" i="11"/>
  <c r="L34" i="11"/>
  <c r="N34" i="11"/>
  <c r="E42" i="15"/>
  <c r="A50" i="7"/>
  <c r="C49" i="7"/>
  <c r="A39" i="9"/>
  <c r="C38" i="9"/>
  <c r="J37" i="9"/>
  <c r="D37" i="9"/>
  <c r="H37" i="9"/>
  <c r="I37" i="9"/>
  <c r="G37" i="9"/>
  <c r="E37" i="9"/>
  <c r="F37" i="9"/>
  <c r="H43" i="15" s="1"/>
  <c r="A36" i="11"/>
  <c r="C35" i="11"/>
  <c r="J34" i="11"/>
  <c r="H34" i="11"/>
  <c r="G34" i="11"/>
  <c r="F34" i="11"/>
  <c r="I34" i="11"/>
  <c r="K34" i="11"/>
  <c r="A33" i="12"/>
  <c r="C32" i="12"/>
  <c r="B38" i="9"/>
  <c r="B33" i="12"/>
  <c r="B35" i="11"/>
  <c r="N35" i="11" l="1"/>
  <c r="L35" i="11"/>
  <c r="M35" i="11"/>
  <c r="O35" i="11"/>
  <c r="E34" i="11"/>
  <c r="E43" i="15"/>
  <c r="A51" i="7"/>
  <c r="C50" i="7"/>
  <c r="A40" i="9"/>
  <c r="C39" i="9"/>
  <c r="D38" i="9"/>
  <c r="E38" i="9"/>
  <c r="J38" i="9"/>
  <c r="H38" i="9"/>
  <c r="I38" i="9"/>
  <c r="F38" i="9"/>
  <c r="H44" i="15" s="1"/>
  <c r="G38" i="9"/>
  <c r="A37" i="11"/>
  <c r="C36" i="11"/>
  <c r="I35" i="11"/>
  <c r="J35" i="11"/>
  <c r="H35" i="11"/>
  <c r="G35" i="11"/>
  <c r="F35" i="11"/>
  <c r="K35" i="11"/>
  <c r="A34" i="12"/>
  <c r="C33" i="12"/>
  <c r="B39" i="9"/>
  <c r="B34" i="12"/>
  <c r="B36" i="11"/>
  <c r="N36" i="11" l="1"/>
  <c r="M36" i="11"/>
  <c r="O36" i="11"/>
  <c r="L36" i="11"/>
  <c r="E35" i="11"/>
  <c r="E44" i="15"/>
  <c r="A52" i="7"/>
  <c r="C51" i="7"/>
  <c r="A41" i="9"/>
  <c r="C40" i="9"/>
  <c r="J39" i="9"/>
  <c r="E39" i="9"/>
  <c r="I39" i="9"/>
  <c r="G39" i="9"/>
  <c r="D39" i="9"/>
  <c r="H39" i="9"/>
  <c r="F39" i="9"/>
  <c r="H45" i="15" s="1"/>
  <c r="A38" i="11"/>
  <c r="C37" i="11"/>
  <c r="K36" i="11"/>
  <c r="I36" i="11"/>
  <c r="J36" i="11"/>
  <c r="H36" i="11"/>
  <c r="G36" i="11"/>
  <c r="F36" i="11"/>
  <c r="A35" i="12"/>
  <c r="C34" i="12"/>
  <c r="B40" i="9"/>
  <c r="B35" i="12"/>
  <c r="B37" i="11"/>
  <c r="E36" i="11" l="1"/>
  <c r="O37" i="11"/>
  <c r="N37" i="11"/>
  <c r="L37" i="11"/>
  <c r="M37" i="11"/>
  <c r="E45" i="15"/>
  <c r="A53" i="7"/>
  <c r="C52" i="7"/>
  <c r="A42" i="9"/>
  <c r="C41" i="9"/>
  <c r="H40" i="9"/>
  <c r="D40" i="9"/>
  <c r="F40" i="9"/>
  <c r="H46" i="15" s="1"/>
  <c r="E40" i="9"/>
  <c r="G40" i="9"/>
  <c r="J40" i="9"/>
  <c r="I40" i="9"/>
  <c r="A39" i="11"/>
  <c r="C38" i="11"/>
  <c r="K37" i="11"/>
  <c r="I37" i="11"/>
  <c r="J37" i="11"/>
  <c r="H37" i="11"/>
  <c r="G37" i="11"/>
  <c r="F37" i="11"/>
  <c r="A36" i="12"/>
  <c r="C35" i="12"/>
  <c r="B41" i="9"/>
  <c r="B36" i="12"/>
  <c r="B38" i="11"/>
  <c r="E37" i="11" l="1"/>
  <c r="L38" i="11"/>
  <c r="N38" i="11"/>
  <c r="M38" i="11"/>
  <c r="O38" i="11"/>
  <c r="E46" i="15"/>
  <c r="A54" i="7"/>
  <c r="C53" i="7"/>
  <c r="A43" i="9"/>
  <c r="C42" i="9"/>
  <c r="G41" i="9"/>
  <c r="D41" i="9"/>
  <c r="H41" i="9"/>
  <c r="E41" i="9"/>
  <c r="J41" i="9"/>
  <c r="F41" i="9"/>
  <c r="H47" i="15" s="1"/>
  <c r="I41" i="9"/>
  <c r="A40" i="11"/>
  <c r="C39" i="11"/>
  <c r="K38" i="11"/>
  <c r="I38" i="11"/>
  <c r="J38" i="11"/>
  <c r="F38" i="11"/>
  <c r="G38" i="11"/>
  <c r="H38" i="11"/>
  <c r="A37" i="12"/>
  <c r="C36" i="12"/>
  <c r="B42" i="9"/>
  <c r="B37" i="12"/>
  <c r="B39" i="11"/>
  <c r="L39" i="11" l="1"/>
  <c r="M39" i="11"/>
  <c r="O39" i="11"/>
  <c r="N39" i="11"/>
  <c r="E38" i="11"/>
  <c r="E47" i="15"/>
  <c r="A55" i="7"/>
  <c r="C54" i="7"/>
  <c r="A44" i="9"/>
  <c r="C43" i="9"/>
  <c r="I42" i="9"/>
  <c r="G42" i="9"/>
  <c r="F42" i="9"/>
  <c r="H48" i="15" s="1"/>
  <c r="H42" i="9"/>
  <c r="E42" i="9"/>
  <c r="J42" i="9"/>
  <c r="D42" i="9"/>
  <c r="A41" i="11"/>
  <c r="C40" i="11"/>
  <c r="F39" i="11"/>
  <c r="K39" i="11"/>
  <c r="I39" i="11"/>
  <c r="G39" i="11"/>
  <c r="J39" i="11"/>
  <c r="H39" i="11"/>
  <c r="A38" i="12"/>
  <c r="C37" i="12"/>
  <c r="B43" i="9"/>
  <c r="B38" i="12"/>
  <c r="B40" i="11"/>
  <c r="L40" i="11" l="1"/>
  <c r="N40" i="11"/>
  <c r="M40" i="11"/>
  <c r="O40" i="11"/>
  <c r="E39" i="11"/>
  <c r="E48" i="15"/>
  <c r="C55" i="7"/>
  <c r="A56" i="7"/>
  <c r="A45" i="9"/>
  <c r="C44" i="9"/>
  <c r="E43" i="9"/>
  <c r="J43" i="9"/>
  <c r="F43" i="9"/>
  <c r="H49" i="15" s="1"/>
  <c r="H43" i="9"/>
  <c r="G43" i="9"/>
  <c r="D43" i="9"/>
  <c r="I43" i="9"/>
  <c r="A42" i="11"/>
  <c r="C41" i="11"/>
  <c r="G40" i="11"/>
  <c r="F40" i="11"/>
  <c r="K40" i="11"/>
  <c r="H40" i="11"/>
  <c r="I40" i="11"/>
  <c r="J40" i="11"/>
  <c r="A39" i="12"/>
  <c r="C38" i="12"/>
  <c r="B44" i="9"/>
  <c r="B39" i="12"/>
  <c r="B41" i="11"/>
  <c r="E40" i="11" l="1"/>
  <c r="M41" i="11"/>
  <c r="O41" i="11"/>
  <c r="L41" i="11"/>
  <c r="N41" i="11"/>
  <c r="E49" i="15"/>
  <c r="A57" i="7"/>
  <c r="C56" i="7"/>
  <c r="A46" i="9"/>
  <c r="C45" i="9"/>
  <c r="F44" i="9"/>
  <c r="H50" i="15" s="1"/>
  <c r="E44" i="9"/>
  <c r="D44" i="9"/>
  <c r="J44" i="9"/>
  <c r="I44" i="9"/>
  <c r="G44" i="9"/>
  <c r="H44" i="9"/>
  <c r="A43" i="11"/>
  <c r="C42" i="11"/>
  <c r="H41" i="11"/>
  <c r="G41" i="11"/>
  <c r="F41" i="11"/>
  <c r="J41" i="11"/>
  <c r="K41" i="11"/>
  <c r="I41" i="11"/>
  <c r="A40" i="12"/>
  <c r="C39" i="12"/>
  <c r="B45" i="9"/>
  <c r="B40" i="12"/>
  <c r="B42" i="11"/>
  <c r="E41" i="11" l="1"/>
  <c r="L42" i="11"/>
  <c r="N42" i="11"/>
  <c r="M42" i="11"/>
  <c r="O42" i="11"/>
  <c r="E50" i="15"/>
  <c r="A58" i="7"/>
  <c r="C57" i="7"/>
  <c r="A47" i="9"/>
  <c r="C46" i="9"/>
  <c r="J45" i="9"/>
  <c r="H45" i="9"/>
  <c r="I45" i="9"/>
  <c r="G45" i="9"/>
  <c r="F45" i="9"/>
  <c r="H51" i="15" s="1"/>
  <c r="E45" i="9"/>
  <c r="D45" i="9"/>
  <c r="A44" i="11"/>
  <c r="C43" i="11"/>
  <c r="J42" i="11"/>
  <c r="H42" i="11"/>
  <c r="G42" i="11"/>
  <c r="F42" i="11"/>
  <c r="I42" i="11"/>
  <c r="K42" i="11"/>
  <c r="A41" i="12"/>
  <c r="C40" i="12"/>
  <c r="B46" i="9"/>
  <c r="B41" i="12"/>
  <c r="B43" i="11"/>
  <c r="E42" i="11" l="1"/>
  <c r="L43" i="11"/>
  <c r="M43" i="11"/>
  <c r="O43" i="11"/>
  <c r="N43" i="11"/>
  <c r="E51" i="15"/>
  <c r="A59" i="7"/>
  <c r="C58" i="7"/>
  <c r="A48" i="9"/>
  <c r="C47" i="9"/>
  <c r="D46" i="9"/>
  <c r="J46" i="9"/>
  <c r="E46" i="9"/>
  <c r="H46" i="9"/>
  <c r="I46" i="9"/>
  <c r="G46" i="9"/>
  <c r="F46" i="9"/>
  <c r="H52" i="15" s="1"/>
  <c r="A45" i="11"/>
  <c r="C44" i="11"/>
  <c r="I43" i="11"/>
  <c r="J43" i="11"/>
  <c r="H43" i="11"/>
  <c r="G43" i="11"/>
  <c r="F43" i="11"/>
  <c r="K43" i="11"/>
  <c r="A42" i="12"/>
  <c r="C41" i="12"/>
  <c r="B47" i="9"/>
  <c r="B42" i="12"/>
  <c r="B44" i="11"/>
  <c r="M44" i="11" l="1"/>
  <c r="O44" i="11"/>
  <c r="L44" i="11"/>
  <c r="N44" i="11"/>
  <c r="E43" i="11"/>
  <c r="E52" i="15"/>
  <c r="A60" i="7"/>
  <c r="C59" i="7"/>
  <c r="A49" i="9"/>
  <c r="C48" i="9"/>
  <c r="I47" i="9"/>
  <c r="E47" i="9"/>
  <c r="J47" i="9"/>
  <c r="G47" i="9"/>
  <c r="H47" i="9"/>
  <c r="D47" i="9"/>
  <c r="F47" i="9"/>
  <c r="H53" i="15" s="1"/>
  <c r="A46" i="11"/>
  <c r="C45" i="11"/>
  <c r="K44" i="11"/>
  <c r="I44" i="11"/>
  <c r="J44" i="11"/>
  <c r="H44" i="11"/>
  <c r="G44" i="11"/>
  <c r="F44" i="11"/>
  <c r="A43" i="12"/>
  <c r="C42" i="12"/>
  <c r="B48" i="9"/>
  <c r="B43" i="12"/>
  <c r="B45" i="11"/>
  <c r="E44" i="11" l="1"/>
  <c r="N45" i="11"/>
  <c r="L45" i="11"/>
  <c r="M45" i="11"/>
  <c r="O45" i="11"/>
  <c r="E53" i="15"/>
  <c r="A61" i="7"/>
  <c r="C60" i="7"/>
  <c r="A50" i="9"/>
  <c r="C49" i="9"/>
  <c r="H48" i="9"/>
  <c r="E48" i="9"/>
  <c r="I48" i="9"/>
  <c r="J48" i="9"/>
  <c r="F48" i="9"/>
  <c r="H54" i="15" s="1"/>
  <c r="D48" i="9"/>
  <c r="G48" i="9"/>
  <c r="A47" i="11"/>
  <c r="C46" i="11"/>
  <c r="K45" i="11"/>
  <c r="I45" i="11"/>
  <c r="J45" i="11"/>
  <c r="H45" i="11"/>
  <c r="G45" i="11"/>
  <c r="F45" i="11"/>
  <c r="A44" i="12"/>
  <c r="C43" i="12"/>
  <c r="B49" i="9"/>
  <c r="B44" i="12"/>
  <c r="B46" i="11"/>
  <c r="M46" i="11" l="1"/>
  <c r="O46" i="11"/>
  <c r="L46" i="11"/>
  <c r="N46" i="11"/>
  <c r="E45" i="11"/>
  <c r="E54" i="15"/>
  <c r="A62" i="7"/>
  <c r="C61" i="7"/>
  <c r="A51" i="9"/>
  <c r="C50" i="9"/>
  <c r="E49" i="9"/>
  <c r="H49" i="9"/>
  <c r="F49" i="9"/>
  <c r="H55" i="15" s="1"/>
  <c r="G49" i="9"/>
  <c r="I49" i="9"/>
  <c r="J49" i="9"/>
  <c r="D49" i="9"/>
  <c r="A48" i="11"/>
  <c r="C47" i="11"/>
  <c r="K46" i="11"/>
  <c r="I46" i="11"/>
  <c r="J46" i="11"/>
  <c r="F46" i="11"/>
  <c r="H46" i="11"/>
  <c r="G46" i="11"/>
  <c r="A45" i="12"/>
  <c r="C44" i="12"/>
  <c r="B50" i="9"/>
  <c r="B45" i="12"/>
  <c r="B47" i="11"/>
  <c r="L47" i="11" l="1"/>
  <c r="N47" i="11"/>
  <c r="M47" i="11"/>
  <c r="O47" i="11"/>
  <c r="E46" i="11"/>
  <c r="E55" i="15"/>
  <c r="A63" i="7"/>
  <c r="C62" i="7"/>
  <c r="A52" i="9"/>
  <c r="C51" i="9"/>
  <c r="E50" i="9"/>
  <c r="H50" i="9"/>
  <c r="D50" i="9"/>
  <c r="F50" i="9"/>
  <c r="H56" i="15" s="1"/>
  <c r="I50" i="9"/>
  <c r="J50" i="9"/>
  <c r="G50" i="9"/>
  <c r="A49" i="11"/>
  <c r="C48" i="11"/>
  <c r="F47" i="11"/>
  <c r="K47" i="11"/>
  <c r="I47" i="11"/>
  <c r="G47" i="11"/>
  <c r="H47" i="11"/>
  <c r="J47" i="11"/>
  <c r="A46" i="12"/>
  <c r="C45" i="12"/>
  <c r="B51" i="9"/>
  <c r="B46" i="12"/>
  <c r="B48" i="11"/>
  <c r="M48" i="11" l="1"/>
  <c r="O48" i="11"/>
  <c r="L48" i="11"/>
  <c r="N48" i="11"/>
  <c r="E47" i="11"/>
  <c r="E56" i="15"/>
  <c r="C63" i="7"/>
  <c r="A64" i="7"/>
  <c r="A53" i="9"/>
  <c r="C52" i="9"/>
  <c r="I51" i="9"/>
  <c r="D51" i="9"/>
  <c r="E51" i="9"/>
  <c r="H51" i="9"/>
  <c r="J51" i="9"/>
  <c r="F51" i="9"/>
  <c r="H57" i="15" s="1"/>
  <c r="G51" i="9"/>
  <c r="A50" i="11"/>
  <c r="C49" i="11"/>
  <c r="G48" i="11"/>
  <c r="F48" i="11"/>
  <c r="K48" i="11"/>
  <c r="H48" i="11"/>
  <c r="J48" i="11"/>
  <c r="I48" i="11"/>
  <c r="A47" i="12"/>
  <c r="C46" i="12"/>
  <c r="B52" i="9"/>
  <c r="B47" i="12"/>
  <c r="B49" i="11"/>
  <c r="E48" i="11" l="1"/>
  <c r="N49" i="11"/>
  <c r="L49" i="11"/>
  <c r="M49" i="11"/>
  <c r="O49" i="11"/>
  <c r="E57" i="15"/>
  <c r="C64" i="7"/>
  <c r="A65" i="7"/>
  <c r="A54" i="9"/>
  <c r="C53" i="9"/>
  <c r="J52" i="9"/>
  <c r="D52" i="9"/>
  <c r="H52" i="9"/>
  <c r="I52" i="9"/>
  <c r="G52" i="9"/>
  <c r="F52" i="9"/>
  <c r="H58" i="15" s="1"/>
  <c r="E52" i="9"/>
  <c r="A51" i="11"/>
  <c r="C50" i="11"/>
  <c r="H49" i="11"/>
  <c r="G49" i="11"/>
  <c r="F49" i="11"/>
  <c r="J49" i="11"/>
  <c r="K49" i="11"/>
  <c r="I49" i="11"/>
  <c r="A48" i="12"/>
  <c r="C47" i="12"/>
  <c r="B53" i="9"/>
  <c r="B48" i="12"/>
  <c r="B50" i="11"/>
  <c r="E49" i="11" l="1"/>
  <c r="M50" i="11"/>
  <c r="O50" i="11"/>
  <c r="L50" i="11"/>
  <c r="N50" i="11"/>
  <c r="E58" i="15"/>
  <c r="A66" i="7"/>
  <c r="C65" i="7"/>
  <c r="A55" i="9"/>
  <c r="C54" i="9"/>
  <c r="J53" i="9"/>
  <c r="H53" i="9"/>
  <c r="E53" i="9"/>
  <c r="I53" i="9"/>
  <c r="G53" i="9"/>
  <c r="F53" i="9"/>
  <c r="H59" i="15" s="1"/>
  <c r="D53" i="9"/>
  <c r="A52" i="11"/>
  <c r="C51" i="11"/>
  <c r="J50" i="11"/>
  <c r="H50" i="11"/>
  <c r="G50" i="11"/>
  <c r="F50" i="11"/>
  <c r="I50" i="11"/>
  <c r="K50" i="11"/>
  <c r="A49" i="12"/>
  <c r="C48" i="12"/>
  <c r="B54" i="9"/>
  <c r="B49" i="12"/>
  <c r="B51" i="11"/>
  <c r="E50" i="11" l="1"/>
  <c r="N51" i="11"/>
  <c r="L51" i="11"/>
  <c r="M51" i="11"/>
  <c r="O51" i="11"/>
  <c r="E59" i="15"/>
  <c r="A67" i="7"/>
  <c r="C66" i="7"/>
  <c r="A56" i="9"/>
  <c r="C55" i="9"/>
  <c r="I54" i="9"/>
  <c r="G54" i="9"/>
  <c r="E54" i="9"/>
  <c r="F54" i="9"/>
  <c r="H60" i="15" s="1"/>
  <c r="H54" i="9"/>
  <c r="D54" i="9"/>
  <c r="J54" i="9"/>
  <c r="A53" i="11"/>
  <c r="C52" i="11"/>
  <c r="I51" i="11"/>
  <c r="J51" i="11"/>
  <c r="H51" i="11"/>
  <c r="G51" i="11"/>
  <c r="F51" i="11"/>
  <c r="K51" i="11"/>
  <c r="A50" i="12"/>
  <c r="C49" i="12"/>
  <c r="B55" i="9"/>
  <c r="B50" i="12"/>
  <c r="B52" i="11"/>
  <c r="E51" i="11" l="1"/>
  <c r="N52" i="11"/>
  <c r="M52" i="11"/>
  <c r="O52" i="11"/>
  <c r="L52" i="11"/>
  <c r="E60" i="15"/>
  <c r="A68" i="7"/>
  <c r="C67" i="7"/>
  <c r="A57" i="9"/>
  <c r="C56" i="9"/>
  <c r="F55" i="9"/>
  <c r="H61" i="15" s="1"/>
  <c r="D55" i="9"/>
  <c r="I55" i="9"/>
  <c r="E55" i="9"/>
  <c r="H55" i="9"/>
  <c r="J55" i="9"/>
  <c r="G55" i="9"/>
  <c r="A54" i="11"/>
  <c r="C53" i="11"/>
  <c r="K52" i="11"/>
  <c r="I52" i="11"/>
  <c r="J52" i="11"/>
  <c r="H52" i="11"/>
  <c r="G52" i="11"/>
  <c r="F52" i="11"/>
  <c r="A51" i="12"/>
  <c r="C50" i="12"/>
  <c r="B56" i="9"/>
  <c r="B51" i="12"/>
  <c r="B53" i="11"/>
  <c r="O53" i="11" l="1"/>
  <c r="N53" i="11"/>
  <c r="L53" i="11"/>
  <c r="M53" i="11"/>
  <c r="E52" i="11"/>
  <c r="E61" i="15"/>
  <c r="A69" i="7"/>
  <c r="C68" i="7"/>
  <c r="A58" i="9"/>
  <c r="C57" i="9"/>
  <c r="G56" i="9"/>
  <c r="F56" i="9"/>
  <c r="H62" i="15" s="1"/>
  <c r="H56" i="9"/>
  <c r="I56" i="9"/>
  <c r="E56" i="9"/>
  <c r="J56" i="9"/>
  <c r="D56" i="9"/>
  <c r="A55" i="11"/>
  <c r="C54" i="11"/>
  <c r="K53" i="11"/>
  <c r="I53" i="11"/>
  <c r="J53" i="11"/>
  <c r="H53" i="11"/>
  <c r="G53" i="11"/>
  <c r="F53" i="11"/>
  <c r="A52" i="12"/>
  <c r="C51" i="12"/>
  <c r="B57" i="9"/>
  <c r="B52" i="12"/>
  <c r="B54" i="11"/>
  <c r="L54" i="11" l="1"/>
  <c r="N54" i="11"/>
  <c r="M54" i="11"/>
  <c r="O54" i="11"/>
  <c r="E53" i="11"/>
  <c r="E62" i="15"/>
  <c r="A70" i="7"/>
  <c r="C69" i="7"/>
  <c r="A59" i="9"/>
  <c r="C58" i="9"/>
  <c r="J57" i="9"/>
  <c r="E57" i="9"/>
  <c r="G57" i="9"/>
  <c r="D57" i="9"/>
  <c r="H57" i="9"/>
  <c r="F57" i="9"/>
  <c r="H63" i="15" s="1"/>
  <c r="I57" i="9"/>
  <c r="A56" i="11"/>
  <c r="C55" i="11"/>
  <c r="K54" i="11"/>
  <c r="I54" i="11"/>
  <c r="J54" i="11"/>
  <c r="H54" i="11"/>
  <c r="F54" i="11"/>
  <c r="G54" i="11"/>
  <c r="A53" i="12"/>
  <c r="C52" i="12"/>
  <c r="B58" i="9"/>
  <c r="B53" i="12"/>
  <c r="B55" i="11"/>
  <c r="E54" i="11" l="1"/>
  <c r="M55" i="11"/>
  <c r="O55" i="11"/>
  <c r="N55" i="11"/>
  <c r="L55" i="11"/>
  <c r="E63" i="15"/>
  <c r="A71" i="7"/>
  <c r="C70" i="7"/>
  <c r="A60" i="9"/>
  <c r="C59" i="9"/>
  <c r="I58" i="9"/>
  <c r="E58" i="9"/>
  <c r="J58" i="9"/>
  <c r="H58" i="9"/>
  <c r="G58" i="9"/>
  <c r="F58" i="9"/>
  <c r="H64" i="15" s="1"/>
  <c r="D58" i="9"/>
  <c r="A57" i="11"/>
  <c r="C56" i="11"/>
  <c r="F55" i="11"/>
  <c r="K55" i="11"/>
  <c r="I55" i="11"/>
  <c r="J55" i="11"/>
  <c r="G55" i="11"/>
  <c r="H55" i="11"/>
  <c r="A54" i="12"/>
  <c r="C53" i="12"/>
  <c r="B59" i="9"/>
  <c r="B54" i="12"/>
  <c r="B56" i="11"/>
  <c r="L56" i="11" l="1"/>
  <c r="N56" i="11"/>
  <c r="M56" i="11"/>
  <c r="O56" i="11"/>
  <c r="E55" i="11"/>
  <c r="E64" i="15"/>
  <c r="C71" i="7"/>
  <c r="A72" i="7"/>
  <c r="A61" i="9"/>
  <c r="C60" i="9"/>
  <c r="I59" i="9"/>
  <c r="H59" i="9"/>
  <c r="F59" i="9"/>
  <c r="H65" i="15" s="1"/>
  <c r="E59" i="9"/>
  <c r="G59" i="9"/>
  <c r="D59" i="9"/>
  <c r="J59" i="9"/>
  <c r="A58" i="11"/>
  <c r="C57" i="11"/>
  <c r="G56" i="11"/>
  <c r="F56" i="11"/>
  <c r="K56" i="11"/>
  <c r="I56" i="11"/>
  <c r="H56" i="11"/>
  <c r="J56" i="11"/>
  <c r="A55" i="12"/>
  <c r="C54" i="12"/>
  <c r="B60" i="9"/>
  <c r="B55" i="12"/>
  <c r="B57" i="11"/>
  <c r="L57" i="11" l="1"/>
  <c r="N57" i="11"/>
  <c r="M57" i="11"/>
  <c r="O57" i="11"/>
  <c r="E56" i="11"/>
  <c r="E65" i="15"/>
  <c r="A73" i="7"/>
  <c r="C72" i="7"/>
  <c r="A62" i="9"/>
  <c r="C61" i="9"/>
  <c r="J60" i="9"/>
  <c r="G60" i="9"/>
  <c r="H60" i="9"/>
  <c r="I60" i="9"/>
  <c r="D60" i="9"/>
  <c r="F60" i="9"/>
  <c r="H66" i="15" s="1"/>
  <c r="E60" i="9"/>
  <c r="A59" i="11"/>
  <c r="C58" i="11"/>
  <c r="H57" i="11"/>
  <c r="G57" i="11"/>
  <c r="F57" i="11"/>
  <c r="K57" i="11"/>
  <c r="J57" i="11"/>
  <c r="I57" i="11"/>
  <c r="A56" i="12"/>
  <c r="C55" i="12"/>
  <c r="B61" i="9"/>
  <c r="B56" i="12"/>
  <c r="B58" i="11"/>
  <c r="L58" i="11" l="1"/>
  <c r="N58" i="11"/>
  <c r="M58" i="11"/>
  <c r="O58" i="11"/>
  <c r="E57" i="11"/>
  <c r="E66" i="15"/>
  <c r="A74" i="7"/>
  <c r="C73" i="7"/>
  <c r="A63" i="9"/>
  <c r="C62" i="9"/>
  <c r="E61" i="9"/>
  <c r="I61" i="9"/>
  <c r="J61" i="9"/>
  <c r="H61" i="9"/>
  <c r="G61" i="9"/>
  <c r="F61" i="9"/>
  <c r="H67" i="15" s="1"/>
  <c r="D61" i="9"/>
  <c r="A60" i="11"/>
  <c r="C59" i="11"/>
  <c r="J58" i="11"/>
  <c r="H58" i="11"/>
  <c r="G58" i="11"/>
  <c r="F58" i="11"/>
  <c r="I58" i="11"/>
  <c r="K58" i="11"/>
  <c r="A57" i="12"/>
  <c r="C56" i="12"/>
  <c r="B62" i="9"/>
  <c r="B57" i="12"/>
  <c r="B59" i="11"/>
  <c r="E58" i="11" l="1"/>
  <c r="L59" i="11"/>
  <c r="M59" i="11"/>
  <c r="O59" i="11"/>
  <c r="N59" i="11"/>
  <c r="E67" i="15"/>
  <c r="A75" i="7"/>
  <c r="C74" i="7"/>
  <c r="A64" i="9"/>
  <c r="C63" i="9"/>
  <c r="D62" i="9"/>
  <c r="H62" i="9"/>
  <c r="F62" i="9"/>
  <c r="H68" i="15" s="1"/>
  <c r="G62" i="9"/>
  <c r="E62" i="9"/>
  <c r="J62" i="9"/>
  <c r="I62" i="9"/>
  <c r="A61" i="11"/>
  <c r="C60" i="11"/>
  <c r="I59" i="11"/>
  <c r="J59" i="11"/>
  <c r="H59" i="11"/>
  <c r="G59" i="11"/>
  <c r="F59" i="11"/>
  <c r="K59" i="11"/>
  <c r="A58" i="12"/>
  <c r="C57" i="12"/>
  <c r="B63" i="9"/>
  <c r="B58" i="12"/>
  <c r="B60" i="11"/>
  <c r="M60" i="11" l="1"/>
  <c r="O60" i="11"/>
  <c r="L60" i="11"/>
  <c r="N60" i="11"/>
  <c r="E59" i="11"/>
  <c r="E68" i="15"/>
  <c r="A76" i="7"/>
  <c r="C75" i="7"/>
  <c r="A65" i="9"/>
  <c r="C64" i="9"/>
  <c r="J63" i="9"/>
  <c r="G63" i="9"/>
  <c r="F63" i="9"/>
  <c r="H69" i="15" s="1"/>
  <c r="H63" i="9"/>
  <c r="E63" i="9"/>
  <c r="I63" i="9"/>
  <c r="D63" i="9"/>
  <c r="A62" i="11"/>
  <c r="C61" i="11"/>
  <c r="K60" i="11"/>
  <c r="I60" i="11"/>
  <c r="J60" i="11"/>
  <c r="H60" i="11"/>
  <c r="G60" i="11"/>
  <c r="F60" i="11"/>
  <c r="A59" i="12"/>
  <c r="C58" i="12"/>
  <c r="B64" i="9"/>
  <c r="B59" i="12"/>
  <c r="B61" i="11"/>
  <c r="L61" i="11" l="1"/>
  <c r="M61" i="11"/>
  <c r="O61" i="11"/>
  <c r="N61" i="11"/>
  <c r="E60" i="11"/>
  <c r="E69" i="15"/>
  <c r="A77" i="7"/>
  <c r="C76" i="7"/>
  <c r="A66" i="9"/>
  <c r="C65" i="9"/>
  <c r="J64" i="9"/>
  <c r="H64" i="9"/>
  <c r="G64" i="9"/>
  <c r="E64" i="9"/>
  <c r="D64" i="9"/>
  <c r="F64" i="9"/>
  <c r="H70" i="15" s="1"/>
  <c r="I64" i="9"/>
  <c r="A63" i="11"/>
  <c r="C62" i="11"/>
  <c r="K61" i="11"/>
  <c r="I61" i="11"/>
  <c r="J61" i="11"/>
  <c r="H61" i="11"/>
  <c r="G61" i="11"/>
  <c r="F61" i="11"/>
  <c r="A60" i="12"/>
  <c r="C59" i="12"/>
  <c r="B65" i="9"/>
  <c r="B60" i="12"/>
  <c r="B62" i="11"/>
  <c r="E61" i="11" l="1"/>
  <c r="M62" i="11"/>
  <c r="O62" i="11"/>
  <c r="L62" i="11"/>
  <c r="N62" i="11"/>
  <c r="E70" i="15"/>
  <c r="A78" i="7"/>
  <c r="C77" i="7"/>
  <c r="A67" i="9"/>
  <c r="C66" i="9"/>
  <c r="J65" i="9"/>
  <c r="H65" i="9"/>
  <c r="E65" i="9"/>
  <c r="I65" i="9"/>
  <c r="G65" i="9"/>
  <c r="D65" i="9"/>
  <c r="F65" i="9"/>
  <c r="H71" i="15" s="1"/>
  <c r="A64" i="11"/>
  <c r="C63" i="11"/>
  <c r="K62" i="11"/>
  <c r="I62" i="11"/>
  <c r="J62" i="11"/>
  <c r="H62" i="11"/>
  <c r="F62" i="11"/>
  <c r="G62" i="11"/>
  <c r="A61" i="12"/>
  <c r="C60" i="12"/>
  <c r="B66" i="9"/>
  <c r="B61" i="12"/>
  <c r="B63" i="11"/>
  <c r="E62" i="11" l="1"/>
  <c r="L63" i="11"/>
  <c r="M63" i="11"/>
  <c r="O63" i="11"/>
  <c r="N63" i="11"/>
  <c r="E71" i="15"/>
  <c r="A79" i="7"/>
  <c r="C78" i="7"/>
  <c r="A68" i="9"/>
  <c r="C67" i="9"/>
  <c r="I66" i="9"/>
  <c r="E66" i="9"/>
  <c r="J66" i="9"/>
  <c r="H66" i="9"/>
  <c r="G66" i="9"/>
  <c r="D66" i="9"/>
  <c r="F66" i="9"/>
  <c r="H72" i="15" s="1"/>
  <c r="A65" i="11"/>
  <c r="C64" i="11"/>
  <c r="F63" i="11"/>
  <c r="K63" i="11"/>
  <c r="I63" i="11"/>
  <c r="J63" i="11"/>
  <c r="G63" i="11"/>
  <c r="H63" i="11"/>
  <c r="A62" i="12"/>
  <c r="C61" i="12"/>
  <c r="B67" i="9"/>
  <c r="B62" i="12"/>
  <c r="B64" i="11"/>
  <c r="E63" i="11" l="1"/>
  <c r="M64" i="11"/>
  <c r="O64" i="11"/>
  <c r="L64" i="11"/>
  <c r="N64" i="11"/>
  <c r="E72" i="15"/>
  <c r="C79" i="7"/>
  <c r="A80" i="7"/>
  <c r="A69" i="9"/>
  <c r="C68" i="9"/>
  <c r="I67" i="9"/>
  <c r="D67" i="9"/>
  <c r="H67" i="9"/>
  <c r="E67" i="9"/>
  <c r="G67" i="9"/>
  <c r="F67" i="9"/>
  <c r="H73" i="15" s="1"/>
  <c r="J67" i="9"/>
  <c r="A66" i="11"/>
  <c r="C65" i="11"/>
  <c r="G64" i="11"/>
  <c r="F64" i="11"/>
  <c r="K64" i="11"/>
  <c r="I64" i="11"/>
  <c r="H64" i="11"/>
  <c r="J64" i="11"/>
  <c r="A63" i="12"/>
  <c r="C62" i="12"/>
  <c r="B68" i="9"/>
  <c r="B63" i="12"/>
  <c r="B65" i="11"/>
  <c r="E64" i="11" l="1"/>
  <c r="L65" i="11"/>
  <c r="M65" i="11"/>
  <c r="N65" i="11"/>
  <c r="O65" i="11"/>
  <c r="E73" i="15"/>
  <c r="A81" i="7"/>
  <c r="C80" i="7"/>
  <c r="A70" i="9"/>
  <c r="C69" i="9"/>
  <c r="H68" i="9"/>
  <c r="I68" i="9"/>
  <c r="G68" i="9"/>
  <c r="F68" i="9"/>
  <c r="H74" i="15" s="1"/>
  <c r="E68" i="9"/>
  <c r="J68" i="9"/>
  <c r="D68" i="9"/>
  <c r="A67" i="11"/>
  <c r="C66" i="11"/>
  <c r="H65" i="11"/>
  <c r="G65" i="11"/>
  <c r="F65" i="11"/>
  <c r="K65" i="11"/>
  <c r="J65" i="11"/>
  <c r="I65" i="11"/>
  <c r="A64" i="12"/>
  <c r="C63" i="12"/>
  <c r="B69" i="9"/>
  <c r="B64" i="12"/>
  <c r="B66" i="11"/>
  <c r="M66" i="11" l="1"/>
  <c r="O66" i="11"/>
  <c r="L66" i="11"/>
  <c r="N66" i="11"/>
  <c r="E65" i="11"/>
  <c r="E74" i="15"/>
  <c r="A82" i="7"/>
  <c r="C81" i="7"/>
  <c r="A71" i="9"/>
  <c r="C70" i="9"/>
  <c r="J69" i="9"/>
  <c r="E69" i="9"/>
  <c r="H69" i="9"/>
  <c r="I69" i="9"/>
  <c r="D69" i="9"/>
  <c r="G69" i="9"/>
  <c r="F69" i="9"/>
  <c r="H75" i="15" s="1"/>
  <c r="A68" i="11"/>
  <c r="C67" i="11"/>
  <c r="J66" i="11"/>
  <c r="H66" i="11"/>
  <c r="G66" i="11"/>
  <c r="F66" i="11"/>
  <c r="I66" i="11"/>
  <c r="K66" i="11"/>
  <c r="A65" i="12"/>
  <c r="C64" i="12"/>
  <c r="B70" i="9"/>
  <c r="B65" i="12"/>
  <c r="B67" i="11"/>
  <c r="E66" i="11" l="1"/>
  <c r="N67" i="11"/>
  <c r="L67" i="11"/>
  <c r="M67" i="11"/>
  <c r="O67" i="11"/>
  <c r="E75" i="15"/>
  <c r="A83" i="7"/>
  <c r="C82" i="7"/>
  <c r="A72" i="9"/>
  <c r="C71" i="9"/>
  <c r="J70" i="9"/>
  <c r="H70" i="9"/>
  <c r="I70" i="9"/>
  <c r="G70" i="9"/>
  <c r="F70" i="9"/>
  <c r="H76" i="15" s="1"/>
  <c r="D70" i="9"/>
  <c r="E70" i="9"/>
  <c r="A69" i="11"/>
  <c r="C68" i="11"/>
  <c r="I67" i="11"/>
  <c r="J67" i="11"/>
  <c r="H67" i="11"/>
  <c r="G67" i="11"/>
  <c r="F67" i="11"/>
  <c r="K67" i="11"/>
  <c r="A66" i="12"/>
  <c r="C65" i="12"/>
  <c r="B71" i="9"/>
  <c r="B66" i="12"/>
  <c r="B68" i="11"/>
  <c r="E67" i="11" l="1"/>
  <c r="N68" i="11"/>
  <c r="M68" i="11"/>
  <c r="O68" i="11"/>
  <c r="L68" i="11"/>
  <c r="E76" i="15"/>
  <c r="A84" i="7"/>
  <c r="C83" i="7"/>
  <c r="A73" i="9"/>
  <c r="C72" i="9"/>
  <c r="E71" i="9"/>
  <c r="D71" i="9"/>
  <c r="J71" i="9"/>
  <c r="I71" i="9"/>
  <c r="F71" i="9"/>
  <c r="H77" i="15" s="1"/>
  <c r="H71" i="9"/>
  <c r="G71" i="9"/>
  <c r="A70" i="11"/>
  <c r="C69" i="11"/>
  <c r="K68" i="11"/>
  <c r="I68" i="11"/>
  <c r="J68" i="11"/>
  <c r="H68" i="11"/>
  <c r="G68" i="11"/>
  <c r="F68" i="11"/>
  <c r="A67" i="12"/>
  <c r="C66" i="12"/>
  <c r="B72" i="9"/>
  <c r="B67" i="12"/>
  <c r="B69" i="11"/>
  <c r="E68" i="11" l="1"/>
  <c r="O69" i="11"/>
  <c r="N69" i="11"/>
  <c r="L69" i="11"/>
  <c r="M69" i="11"/>
  <c r="E77" i="15"/>
  <c r="A85" i="7"/>
  <c r="C84" i="7"/>
  <c r="A74" i="9"/>
  <c r="C73" i="9"/>
  <c r="E72" i="9"/>
  <c r="D72" i="9"/>
  <c r="I72" i="9"/>
  <c r="J72" i="9"/>
  <c r="H72" i="9"/>
  <c r="G72" i="9"/>
  <c r="F72" i="9"/>
  <c r="H78" i="15" s="1"/>
  <c r="A71" i="11"/>
  <c r="C70" i="11"/>
  <c r="K69" i="11"/>
  <c r="I69" i="11"/>
  <c r="J69" i="11"/>
  <c r="H69" i="11"/>
  <c r="G69" i="11"/>
  <c r="F69" i="11"/>
  <c r="A68" i="12"/>
  <c r="C67" i="12"/>
  <c r="B73" i="9"/>
  <c r="B68" i="12"/>
  <c r="B70" i="11"/>
  <c r="E69" i="11" l="1"/>
  <c r="L70" i="11"/>
  <c r="N70" i="11"/>
  <c r="M70" i="11"/>
  <c r="O70" i="11"/>
  <c r="E78" i="15"/>
  <c r="A86" i="7"/>
  <c r="C85" i="7"/>
  <c r="A75" i="9"/>
  <c r="C74" i="9"/>
  <c r="E73" i="9"/>
  <c r="J73" i="9"/>
  <c r="I73" i="9"/>
  <c r="H73" i="9"/>
  <c r="D73" i="9"/>
  <c r="G73" i="9"/>
  <c r="F73" i="9"/>
  <c r="H79" i="15" s="1"/>
  <c r="A72" i="11"/>
  <c r="C71" i="11"/>
  <c r="K70" i="11"/>
  <c r="I70" i="11"/>
  <c r="J70" i="11"/>
  <c r="H70" i="11"/>
  <c r="F70" i="11"/>
  <c r="G70" i="11"/>
  <c r="A69" i="12"/>
  <c r="C68" i="12"/>
  <c r="B74" i="9"/>
  <c r="B69" i="12"/>
  <c r="B71" i="11"/>
  <c r="M71" i="11" l="1"/>
  <c r="O71" i="11"/>
  <c r="N71" i="11"/>
  <c r="L71" i="11"/>
  <c r="E70" i="11"/>
  <c r="E79" i="15"/>
  <c r="A87" i="7"/>
  <c r="C86" i="7"/>
  <c r="A76" i="9"/>
  <c r="C75" i="9"/>
  <c r="G74" i="9"/>
  <c r="F74" i="9"/>
  <c r="H80" i="15" s="1"/>
  <c r="E74" i="9"/>
  <c r="D74" i="9"/>
  <c r="J74" i="9"/>
  <c r="I74" i="9"/>
  <c r="H74" i="9"/>
  <c r="A73" i="11"/>
  <c r="C72" i="11"/>
  <c r="F71" i="11"/>
  <c r="K71" i="11"/>
  <c r="I71" i="11"/>
  <c r="J71" i="11"/>
  <c r="G71" i="11"/>
  <c r="H71" i="11"/>
  <c r="A70" i="12"/>
  <c r="C69" i="12"/>
  <c r="B75" i="9"/>
  <c r="B70" i="12"/>
  <c r="B72" i="11"/>
  <c r="E71" i="11" l="1"/>
  <c r="L72" i="11"/>
  <c r="N72" i="11"/>
  <c r="M72" i="11"/>
  <c r="O72" i="11"/>
  <c r="E80" i="15"/>
  <c r="C87" i="7"/>
  <c r="A88" i="7"/>
  <c r="A77" i="9"/>
  <c r="C76" i="9"/>
  <c r="J75" i="9"/>
  <c r="F75" i="9"/>
  <c r="H81" i="15" s="1"/>
  <c r="I75" i="9"/>
  <c r="E75" i="9"/>
  <c r="D75" i="9"/>
  <c r="H75" i="9"/>
  <c r="G75" i="9"/>
  <c r="A74" i="11"/>
  <c r="C73" i="11"/>
  <c r="G72" i="11"/>
  <c r="F72" i="11"/>
  <c r="K72" i="11"/>
  <c r="I72" i="11"/>
  <c r="H72" i="11"/>
  <c r="J72" i="11"/>
  <c r="A71" i="12"/>
  <c r="C70" i="12"/>
  <c r="B76" i="9"/>
  <c r="B71" i="12"/>
  <c r="B73" i="11"/>
  <c r="L73" i="11" l="1"/>
  <c r="M73" i="11"/>
  <c r="O73" i="11"/>
  <c r="N73" i="11"/>
  <c r="E72" i="11"/>
  <c r="E81" i="15"/>
  <c r="A89" i="7"/>
  <c r="C88" i="7"/>
  <c r="A78" i="9"/>
  <c r="C77" i="9"/>
  <c r="I76" i="9"/>
  <c r="G76" i="9"/>
  <c r="F76" i="9"/>
  <c r="H82" i="15" s="1"/>
  <c r="E76" i="9"/>
  <c r="D76" i="9"/>
  <c r="J76" i="9"/>
  <c r="H76" i="9"/>
  <c r="A75" i="11"/>
  <c r="C74" i="11"/>
  <c r="H73" i="11"/>
  <c r="G73" i="11"/>
  <c r="F73" i="11"/>
  <c r="K73" i="11"/>
  <c r="J73" i="11"/>
  <c r="I73" i="11"/>
  <c r="A72" i="12"/>
  <c r="C71" i="12"/>
  <c r="B77" i="9"/>
  <c r="B72" i="12"/>
  <c r="B74" i="11"/>
  <c r="E73" i="11" l="1"/>
  <c r="L74" i="11"/>
  <c r="N74" i="11"/>
  <c r="M74" i="11"/>
  <c r="O74" i="11"/>
  <c r="E82" i="15"/>
  <c r="A90" i="7"/>
  <c r="C89" i="7"/>
  <c r="A79" i="9"/>
  <c r="C78" i="9"/>
  <c r="I77" i="9"/>
  <c r="G77" i="9"/>
  <c r="F77" i="9"/>
  <c r="H83" i="15" s="1"/>
  <c r="E77" i="9"/>
  <c r="D77" i="9"/>
  <c r="J77" i="9"/>
  <c r="H77" i="9"/>
  <c r="A76" i="11"/>
  <c r="C75" i="11"/>
  <c r="J74" i="11"/>
  <c r="H74" i="11"/>
  <c r="G74" i="11"/>
  <c r="F74" i="11"/>
  <c r="I74" i="11"/>
  <c r="K74" i="11"/>
  <c r="A73" i="12"/>
  <c r="C72" i="12"/>
  <c r="B78" i="9"/>
  <c r="B73" i="12"/>
  <c r="B75" i="11"/>
  <c r="L75" i="11" l="1"/>
  <c r="M75" i="11"/>
  <c r="O75" i="11"/>
  <c r="N75" i="11"/>
  <c r="E74" i="11"/>
  <c r="E83" i="15"/>
  <c r="A91" i="7"/>
  <c r="C90" i="7"/>
  <c r="A80" i="9"/>
  <c r="C79" i="9"/>
  <c r="H78" i="9"/>
  <c r="I78" i="9"/>
  <c r="G78" i="9"/>
  <c r="F78" i="9"/>
  <c r="H84" i="15" s="1"/>
  <c r="E78" i="9"/>
  <c r="D78" i="9"/>
  <c r="J78" i="9"/>
  <c r="A77" i="11"/>
  <c r="C76" i="11"/>
  <c r="I75" i="11"/>
  <c r="J75" i="11"/>
  <c r="H75" i="11"/>
  <c r="G75" i="11"/>
  <c r="F75" i="11"/>
  <c r="K75" i="11"/>
  <c r="A74" i="12"/>
  <c r="C73" i="12"/>
  <c r="B79" i="9"/>
  <c r="B74" i="12"/>
  <c r="B76" i="11"/>
  <c r="E75" i="11" l="1"/>
  <c r="M76" i="11"/>
  <c r="O76" i="11"/>
  <c r="L76" i="11"/>
  <c r="N76" i="11"/>
  <c r="E84" i="15"/>
  <c r="A92" i="7"/>
  <c r="C91" i="7"/>
  <c r="A81" i="9"/>
  <c r="C80" i="9"/>
  <c r="H79" i="9"/>
  <c r="G79" i="9"/>
  <c r="E79" i="9"/>
  <c r="D79" i="9"/>
  <c r="I79" i="9"/>
  <c r="J79" i="9"/>
  <c r="F79" i="9"/>
  <c r="H85" i="15" s="1"/>
  <c r="A78" i="11"/>
  <c r="C77" i="11"/>
  <c r="K76" i="11"/>
  <c r="I76" i="11"/>
  <c r="J76" i="11"/>
  <c r="H76" i="11"/>
  <c r="G76" i="11"/>
  <c r="F76" i="11"/>
  <c r="A75" i="12"/>
  <c r="C74" i="12"/>
  <c r="B80" i="9"/>
  <c r="B75" i="12"/>
  <c r="B77" i="11"/>
  <c r="E76" i="11" l="1"/>
  <c r="L77" i="11"/>
  <c r="N77" i="11"/>
  <c r="M77" i="11"/>
  <c r="O77" i="11"/>
  <c r="E85" i="15"/>
  <c r="A93" i="7"/>
  <c r="C92" i="7"/>
  <c r="A82" i="9"/>
  <c r="C81" i="9"/>
  <c r="E80" i="9"/>
  <c r="J80" i="9"/>
  <c r="G80" i="9"/>
  <c r="H80" i="9"/>
  <c r="F80" i="9"/>
  <c r="H86" i="15" s="1"/>
  <c r="D80" i="9"/>
  <c r="I80" i="9"/>
  <c r="A79" i="11"/>
  <c r="C78" i="11"/>
  <c r="K77" i="11"/>
  <c r="I77" i="11"/>
  <c r="J77" i="11"/>
  <c r="H77" i="11"/>
  <c r="G77" i="11"/>
  <c r="F77" i="11"/>
  <c r="A76" i="12"/>
  <c r="C75" i="12"/>
  <c r="B81" i="9"/>
  <c r="B76" i="12"/>
  <c r="B78" i="11"/>
  <c r="E77" i="11" l="1"/>
  <c r="M78" i="11"/>
  <c r="O78" i="11"/>
  <c r="L78" i="11"/>
  <c r="N78" i="11"/>
  <c r="E86" i="15"/>
  <c r="A94" i="7"/>
  <c r="C93" i="7"/>
  <c r="A83" i="9"/>
  <c r="C82" i="9"/>
  <c r="J81" i="9"/>
  <c r="I81" i="9"/>
  <c r="G81" i="9"/>
  <c r="F81" i="9"/>
  <c r="H87" i="15" s="1"/>
  <c r="D81" i="9"/>
  <c r="E81" i="9"/>
  <c r="H81" i="9"/>
  <c r="A80" i="11"/>
  <c r="C79" i="11"/>
  <c r="K78" i="11"/>
  <c r="I78" i="11"/>
  <c r="J78" i="11"/>
  <c r="H78" i="11"/>
  <c r="F78" i="11"/>
  <c r="G78" i="11"/>
  <c r="A77" i="12"/>
  <c r="C76" i="12"/>
  <c r="B82" i="9"/>
  <c r="B77" i="12"/>
  <c r="B79" i="11"/>
  <c r="E78" i="11" l="1"/>
  <c r="N79" i="11"/>
  <c r="L79" i="11"/>
  <c r="M79" i="11"/>
  <c r="O79" i="11"/>
  <c r="E87" i="15"/>
  <c r="A95" i="7"/>
  <c r="C94" i="7"/>
  <c r="A84" i="9"/>
  <c r="C83" i="9"/>
  <c r="F82" i="9"/>
  <c r="H88" i="15" s="1"/>
  <c r="E82" i="9"/>
  <c r="D82" i="9"/>
  <c r="J82" i="9"/>
  <c r="H82" i="9"/>
  <c r="G82" i="9"/>
  <c r="I82" i="9"/>
  <c r="A81" i="11"/>
  <c r="C80" i="11"/>
  <c r="F79" i="11"/>
  <c r="K79" i="11"/>
  <c r="I79" i="11"/>
  <c r="J79" i="11"/>
  <c r="G79" i="11"/>
  <c r="H79" i="11"/>
  <c r="A78" i="12"/>
  <c r="C77" i="12"/>
  <c r="B83" i="9"/>
  <c r="B78" i="12"/>
  <c r="B80" i="11"/>
  <c r="M80" i="11" l="1"/>
  <c r="O80" i="11"/>
  <c r="L80" i="11"/>
  <c r="N80" i="11"/>
  <c r="E79" i="11"/>
  <c r="E88" i="15"/>
  <c r="C95" i="7"/>
  <c r="A96" i="7"/>
  <c r="A85" i="9"/>
  <c r="C84" i="9"/>
  <c r="J83" i="9"/>
  <c r="H83" i="9"/>
  <c r="G83" i="9"/>
  <c r="E83" i="9"/>
  <c r="I83" i="9"/>
  <c r="F83" i="9"/>
  <c r="H89" i="15" s="1"/>
  <c r="D83" i="9"/>
  <c r="A82" i="11"/>
  <c r="C81" i="11"/>
  <c r="G80" i="11"/>
  <c r="F80" i="11"/>
  <c r="K80" i="11"/>
  <c r="I80" i="11"/>
  <c r="H80" i="11"/>
  <c r="J80" i="11"/>
  <c r="A79" i="12"/>
  <c r="C78" i="12"/>
  <c r="B84" i="9"/>
  <c r="B79" i="12"/>
  <c r="B81" i="11"/>
  <c r="E80" i="11" l="1"/>
  <c r="L81" i="11"/>
  <c r="M81" i="11"/>
  <c r="O81" i="11"/>
  <c r="N81" i="11"/>
  <c r="E89" i="15"/>
  <c r="A97" i="7"/>
  <c r="C96" i="7"/>
  <c r="A86" i="9"/>
  <c r="C85" i="9"/>
  <c r="G84" i="9"/>
  <c r="F84" i="9"/>
  <c r="H90" i="15" s="1"/>
  <c r="E84" i="9"/>
  <c r="D84" i="9"/>
  <c r="I84" i="9"/>
  <c r="J84" i="9"/>
  <c r="H84" i="9"/>
  <c r="A83" i="11"/>
  <c r="C82" i="11"/>
  <c r="H81" i="11"/>
  <c r="G81" i="11"/>
  <c r="F81" i="11"/>
  <c r="K81" i="11"/>
  <c r="J81" i="11"/>
  <c r="I81" i="11"/>
  <c r="A80" i="12"/>
  <c r="C79" i="12"/>
  <c r="B85" i="9"/>
  <c r="B80" i="12"/>
  <c r="B82" i="11"/>
  <c r="M82" i="11" l="1"/>
  <c r="O82" i="11"/>
  <c r="L82" i="11"/>
  <c r="N82" i="11"/>
  <c r="E81" i="11"/>
  <c r="E90" i="15"/>
  <c r="A98" i="7"/>
  <c r="C97" i="7"/>
  <c r="A87" i="9"/>
  <c r="C86" i="9"/>
  <c r="G85" i="9"/>
  <c r="F85" i="9"/>
  <c r="H91" i="15" s="1"/>
  <c r="E85" i="9"/>
  <c r="D85" i="9"/>
  <c r="I85" i="9"/>
  <c r="J85" i="9"/>
  <c r="H85" i="9"/>
  <c r="A84" i="11"/>
  <c r="C83" i="11"/>
  <c r="J82" i="11"/>
  <c r="H82" i="11"/>
  <c r="G82" i="11"/>
  <c r="F82" i="11"/>
  <c r="I82" i="11"/>
  <c r="K82" i="11"/>
  <c r="A81" i="12"/>
  <c r="C80" i="12"/>
  <c r="B86" i="9"/>
  <c r="B81" i="12"/>
  <c r="B83" i="11"/>
  <c r="E82" i="11" l="1"/>
  <c r="N83" i="11"/>
  <c r="L83" i="11"/>
  <c r="M83" i="11"/>
  <c r="O83" i="11"/>
  <c r="E91" i="15"/>
  <c r="A99" i="7"/>
  <c r="C98" i="7"/>
  <c r="A88" i="9"/>
  <c r="C87" i="9"/>
  <c r="I86" i="9"/>
  <c r="G86" i="9"/>
  <c r="F86" i="9"/>
  <c r="H92" i="15" s="1"/>
  <c r="E86" i="9"/>
  <c r="H86" i="9"/>
  <c r="J86" i="9"/>
  <c r="D86" i="9"/>
  <c r="A85" i="11"/>
  <c r="C84" i="11"/>
  <c r="I83" i="11"/>
  <c r="J83" i="11"/>
  <c r="H83" i="11"/>
  <c r="G83" i="11"/>
  <c r="F83" i="11"/>
  <c r="K83" i="11"/>
  <c r="A82" i="12"/>
  <c r="C81" i="12"/>
  <c r="B87" i="9"/>
  <c r="B82" i="12"/>
  <c r="B84" i="11"/>
  <c r="N84" i="11" l="1"/>
  <c r="M84" i="11"/>
  <c r="O84" i="11"/>
  <c r="L84" i="11"/>
  <c r="E83" i="11"/>
  <c r="E92" i="15"/>
  <c r="A100" i="7"/>
  <c r="C99" i="7"/>
  <c r="A89" i="9"/>
  <c r="C88" i="9"/>
  <c r="F87" i="9"/>
  <c r="H93" i="15" s="1"/>
  <c r="G87" i="9"/>
  <c r="E87" i="9"/>
  <c r="I87" i="9"/>
  <c r="J87" i="9"/>
  <c r="D87" i="9"/>
  <c r="H87" i="9"/>
  <c r="A86" i="11"/>
  <c r="C85" i="11"/>
  <c r="K84" i="11"/>
  <c r="I84" i="11"/>
  <c r="J84" i="11"/>
  <c r="H84" i="11"/>
  <c r="G84" i="11"/>
  <c r="F84" i="11"/>
  <c r="A83" i="12"/>
  <c r="C82" i="12"/>
  <c r="B88" i="9"/>
  <c r="B83" i="12"/>
  <c r="B85" i="11"/>
  <c r="E84" i="11" l="1"/>
  <c r="N85" i="11"/>
  <c r="O85" i="11"/>
  <c r="L85" i="11"/>
  <c r="M85" i="11"/>
  <c r="E93" i="15"/>
  <c r="A101" i="7"/>
  <c r="C100" i="7"/>
  <c r="A90" i="9"/>
  <c r="C89" i="9"/>
  <c r="J88" i="9"/>
  <c r="I88" i="9"/>
  <c r="G88" i="9"/>
  <c r="F88" i="9"/>
  <c r="H94" i="15" s="1"/>
  <c r="D88" i="9"/>
  <c r="H88" i="9"/>
  <c r="E88" i="9"/>
  <c r="A87" i="11"/>
  <c r="C86" i="11"/>
  <c r="K85" i="11"/>
  <c r="I85" i="11"/>
  <c r="J85" i="11"/>
  <c r="H85" i="11"/>
  <c r="G85" i="11"/>
  <c r="F85" i="11"/>
  <c r="A84" i="12"/>
  <c r="C83" i="12"/>
  <c r="B89" i="9"/>
  <c r="B84" i="12"/>
  <c r="B86" i="11"/>
  <c r="L86" i="11" l="1"/>
  <c r="N86" i="11"/>
  <c r="M86" i="11"/>
  <c r="O86" i="11"/>
  <c r="E85" i="11"/>
  <c r="E94" i="15"/>
  <c r="A102" i="7"/>
  <c r="C101" i="7"/>
  <c r="A91" i="9"/>
  <c r="C90" i="9"/>
  <c r="G89" i="9"/>
  <c r="F89" i="9"/>
  <c r="H95" i="15" s="1"/>
  <c r="I89" i="9"/>
  <c r="J89" i="9"/>
  <c r="H89" i="9"/>
  <c r="E89" i="9"/>
  <c r="D89" i="9"/>
  <c r="A88" i="11"/>
  <c r="C87" i="11"/>
  <c r="K86" i="11"/>
  <c r="I86" i="11"/>
  <c r="J86" i="11"/>
  <c r="H86" i="11"/>
  <c r="F86" i="11"/>
  <c r="G86" i="11"/>
  <c r="A85" i="12"/>
  <c r="C84" i="12"/>
  <c r="B90" i="9"/>
  <c r="B85" i="12"/>
  <c r="B87" i="11"/>
  <c r="E86" i="11" l="1"/>
  <c r="M87" i="11"/>
  <c r="N87" i="11"/>
  <c r="O87" i="11"/>
  <c r="L87" i="11"/>
  <c r="E95" i="15"/>
  <c r="A103" i="7"/>
  <c r="C102" i="7"/>
  <c r="A92" i="9"/>
  <c r="C91" i="9"/>
  <c r="E90" i="9"/>
  <c r="D90" i="9"/>
  <c r="H90" i="9"/>
  <c r="J90" i="9"/>
  <c r="I90" i="9"/>
  <c r="G90" i="9"/>
  <c r="F90" i="9"/>
  <c r="H96" i="15" s="1"/>
  <c r="A89" i="11"/>
  <c r="C88" i="11"/>
  <c r="F87" i="11"/>
  <c r="K87" i="11"/>
  <c r="I87" i="11"/>
  <c r="J87" i="11"/>
  <c r="G87" i="11"/>
  <c r="H87" i="11"/>
  <c r="A86" i="12"/>
  <c r="C85" i="12"/>
  <c r="B91" i="9"/>
  <c r="B86" i="12"/>
  <c r="B88" i="11"/>
  <c r="E87" i="11" l="1"/>
  <c r="L88" i="11"/>
  <c r="N88" i="11"/>
  <c r="M88" i="11"/>
  <c r="O88" i="11"/>
  <c r="E96" i="15"/>
  <c r="C103" i="7"/>
  <c r="A104" i="7"/>
  <c r="A93" i="9"/>
  <c r="C92" i="9"/>
  <c r="J91" i="9"/>
  <c r="H91" i="9"/>
  <c r="I91" i="9"/>
  <c r="E91" i="9"/>
  <c r="G91" i="9"/>
  <c r="F91" i="9"/>
  <c r="H97" i="15" s="1"/>
  <c r="D91" i="9"/>
  <c r="A90" i="11"/>
  <c r="C89" i="11"/>
  <c r="G88" i="11"/>
  <c r="F88" i="11"/>
  <c r="K88" i="11"/>
  <c r="I88" i="11"/>
  <c r="H88" i="11"/>
  <c r="J88" i="11"/>
  <c r="A87" i="12"/>
  <c r="C86" i="12"/>
  <c r="B92" i="9"/>
  <c r="B87" i="12"/>
  <c r="B89" i="11"/>
  <c r="L89" i="11" l="1"/>
  <c r="M89" i="11"/>
  <c r="N89" i="11"/>
  <c r="O89" i="11"/>
  <c r="E88" i="11"/>
  <c r="E97" i="15"/>
  <c r="A105" i="7"/>
  <c r="C104" i="7"/>
  <c r="A94" i="9"/>
  <c r="C93" i="9"/>
  <c r="F92" i="9"/>
  <c r="H98" i="15" s="1"/>
  <c r="E92" i="9"/>
  <c r="D92" i="9"/>
  <c r="J92" i="9"/>
  <c r="H92" i="9"/>
  <c r="I92" i="9"/>
  <c r="G92" i="9"/>
  <c r="A91" i="11"/>
  <c r="C90" i="11"/>
  <c r="H89" i="11"/>
  <c r="G89" i="11"/>
  <c r="F89" i="11"/>
  <c r="K89" i="11"/>
  <c r="J89" i="11"/>
  <c r="I89" i="11"/>
  <c r="A88" i="12"/>
  <c r="C87" i="12"/>
  <c r="B93" i="9"/>
  <c r="B88" i="12"/>
  <c r="B90" i="11"/>
  <c r="E89" i="11" l="1"/>
  <c r="L90" i="11"/>
  <c r="N90" i="11"/>
  <c r="M90" i="11"/>
  <c r="O90" i="11"/>
  <c r="E98" i="15"/>
  <c r="A106" i="7"/>
  <c r="C105" i="7"/>
  <c r="A95" i="9"/>
  <c r="C94" i="9"/>
  <c r="G93" i="9"/>
  <c r="F93" i="9"/>
  <c r="H99" i="15" s="1"/>
  <c r="E93" i="9"/>
  <c r="D93" i="9"/>
  <c r="J93" i="9"/>
  <c r="H93" i="9"/>
  <c r="I93" i="9"/>
  <c r="A92" i="11"/>
  <c r="C91" i="11"/>
  <c r="J90" i="11"/>
  <c r="H90" i="11"/>
  <c r="G90" i="11"/>
  <c r="F90" i="11"/>
  <c r="I90" i="11"/>
  <c r="K90" i="11"/>
  <c r="A89" i="12"/>
  <c r="C88" i="12"/>
  <c r="B94" i="9"/>
  <c r="B89" i="12"/>
  <c r="B91" i="11"/>
  <c r="E90" i="11" l="1"/>
  <c r="L91" i="11"/>
  <c r="M91" i="11"/>
  <c r="N91" i="11"/>
  <c r="O91" i="11"/>
  <c r="E99" i="15"/>
  <c r="A107" i="7"/>
  <c r="C106" i="7"/>
  <c r="A96" i="9"/>
  <c r="C95" i="9"/>
  <c r="G94" i="9"/>
  <c r="F94" i="9"/>
  <c r="H100" i="15" s="1"/>
  <c r="E94" i="9"/>
  <c r="D94" i="9"/>
  <c r="J94" i="9"/>
  <c r="H94" i="9"/>
  <c r="I94" i="9"/>
  <c r="A93" i="11"/>
  <c r="C92" i="11"/>
  <c r="I91" i="11"/>
  <c r="J91" i="11"/>
  <c r="H91" i="11"/>
  <c r="G91" i="11"/>
  <c r="F91" i="11"/>
  <c r="K91" i="11"/>
  <c r="A90" i="12"/>
  <c r="C89" i="12"/>
  <c r="B95" i="9"/>
  <c r="B90" i="12"/>
  <c r="B92" i="11"/>
  <c r="M92" i="11" l="1"/>
  <c r="O92" i="11"/>
  <c r="L92" i="11"/>
  <c r="N92" i="11"/>
  <c r="E91" i="11"/>
  <c r="E100" i="15"/>
  <c r="A108" i="7"/>
  <c r="C107" i="7"/>
  <c r="A97" i="9"/>
  <c r="C96" i="9"/>
  <c r="F95" i="9"/>
  <c r="H101" i="15" s="1"/>
  <c r="D95" i="9"/>
  <c r="J95" i="9"/>
  <c r="G95" i="9"/>
  <c r="E95" i="9"/>
  <c r="H95" i="9"/>
  <c r="I95" i="9"/>
  <c r="A94" i="11"/>
  <c r="C93" i="11"/>
  <c r="K92" i="11"/>
  <c r="I92" i="11"/>
  <c r="J92" i="11"/>
  <c r="H92" i="11"/>
  <c r="G92" i="11"/>
  <c r="F92" i="11"/>
  <c r="A91" i="12"/>
  <c r="C90" i="12"/>
  <c r="B96" i="9"/>
  <c r="B91" i="12"/>
  <c r="B93" i="11"/>
  <c r="N93" i="11" l="1"/>
  <c r="L93" i="11"/>
  <c r="M93" i="11"/>
  <c r="O93" i="11"/>
  <c r="E92" i="11"/>
  <c r="E101" i="15"/>
  <c r="A109" i="7"/>
  <c r="C108" i="7"/>
  <c r="A98" i="9"/>
  <c r="C97" i="9"/>
  <c r="I96" i="9"/>
  <c r="F96" i="9"/>
  <c r="H102" i="15" s="1"/>
  <c r="E96" i="9"/>
  <c r="D96" i="9"/>
  <c r="J96" i="9"/>
  <c r="H96" i="9"/>
  <c r="G96" i="9"/>
  <c r="A95" i="11"/>
  <c r="C94" i="11"/>
  <c r="K93" i="11"/>
  <c r="I93" i="11"/>
  <c r="J93" i="11"/>
  <c r="H93" i="11"/>
  <c r="G93" i="11"/>
  <c r="F93" i="11"/>
  <c r="A92" i="12"/>
  <c r="C91" i="12"/>
  <c r="B97" i="9"/>
  <c r="B92" i="12"/>
  <c r="B94" i="11"/>
  <c r="M94" i="11" l="1"/>
  <c r="O94" i="11"/>
  <c r="L94" i="11"/>
  <c r="N94" i="11"/>
  <c r="E93" i="11"/>
  <c r="E102" i="15"/>
  <c r="A110" i="7"/>
  <c r="C109" i="7"/>
  <c r="A99" i="9"/>
  <c r="C98" i="9"/>
  <c r="G97" i="9"/>
  <c r="E97" i="9"/>
  <c r="D97" i="9"/>
  <c r="H97" i="9"/>
  <c r="I97" i="9"/>
  <c r="F97" i="9"/>
  <c r="H103" i="15" s="1"/>
  <c r="J97" i="9"/>
  <c r="A96" i="11"/>
  <c r="C95" i="11"/>
  <c r="K94" i="11"/>
  <c r="I94" i="11"/>
  <c r="J94" i="11"/>
  <c r="H94" i="11"/>
  <c r="F94" i="11"/>
  <c r="G94" i="11"/>
  <c r="A93" i="12"/>
  <c r="C92" i="12"/>
  <c r="B98" i="9"/>
  <c r="B93" i="12"/>
  <c r="B95" i="11"/>
  <c r="E94" i="11" l="1"/>
  <c r="L95" i="11"/>
  <c r="M95" i="11"/>
  <c r="N95" i="11"/>
  <c r="O95" i="11"/>
  <c r="E103" i="15"/>
  <c r="A111" i="7"/>
  <c r="C111" i="7" s="1"/>
  <c r="C110" i="7"/>
  <c r="A100" i="9"/>
  <c r="C99" i="9"/>
  <c r="J98" i="9"/>
  <c r="I98" i="9"/>
  <c r="H98" i="9"/>
  <c r="G98" i="9"/>
  <c r="D98" i="9"/>
  <c r="F98" i="9"/>
  <c r="H104" i="15" s="1"/>
  <c r="E98" i="9"/>
  <c r="A97" i="11"/>
  <c r="C96" i="11"/>
  <c r="F95" i="11"/>
  <c r="K95" i="11"/>
  <c r="I95" i="11"/>
  <c r="J95" i="11"/>
  <c r="G95" i="11"/>
  <c r="H95" i="11"/>
  <c r="A94" i="12"/>
  <c r="C93" i="12"/>
  <c r="B99" i="9"/>
  <c r="B94" i="12"/>
  <c r="B96" i="11"/>
  <c r="E95" i="11" l="1"/>
  <c r="M96" i="11"/>
  <c r="O96" i="11"/>
  <c r="L96" i="11"/>
  <c r="N96" i="11"/>
  <c r="E104" i="15"/>
  <c r="A101" i="9"/>
  <c r="C100" i="9"/>
  <c r="J99" i="9"/>
  <c r="G99" i="9"/>
  <c r="F99" i="9"/>
  <c r="H105" i="15" s="1"/>
  <c r="E99" i="9"/>
  <c r="D99" i="9"/>
  <c r="H99" i="9"/>
  <c r="I99" i="9"/>
  <c r="A98" i="11"/>
  <c r="C97" i="11"/>
  <c r="G96" i="11"/>
  <c r="F96" i="11"/>
  <c r="K96" i="11"/>
  <c r="I96" i="11"/>
  <c r="H96" i="11"/>
  <c r="J96" i="11"/>
  <c r="A95" i="12"/>
  <c r="C94" i="12"/>
  <c r="B100" i="9"/>
  <c r="B95" i="12"/>
  <c r="B97" i="11"/>
  <c r="E96" i="11" l="1"/>
  <c r="N97" i="11"/>
  <c r="L97" i="11"/>
  <c r="M97" i="11"/>
  <c r="O97" i="11"/>
  <c r="E105" i="15"/>
  <c r="A102" i="9"/>
  <c r="C101" i="9"/>
  <c r="E100" i="9"/>
  <c r="D100" i="9"/>
  <c r="J100" i="9"/>
  <c r="H100" i="9"/>
  <c r="I100" i="9"/>
  <c r="G100" i="9"/>
  <c r="F100" i="9"/>
  <c r="H106" i="15" s="1"/>
  <c r="A99" i="11"/>
  <c r="C98" i="11"/>
  <c r="H97" i="11"/>
  <c r="G97" i="11"/>
  <c r="F97" i="11"/>
  <c r="K97" i="11"/>
  <c r="J97" i="11"/>
  <c r="I97" i="11"/>
  <c r="A96" i="12"/>
  <c r="C95" i="12"/>
  <c r="B101" i="9"/>
  <c r="B96" i="12"/>
  <c r="B98" i="11"/>
  <c r="M98" i="11" l="1"/>
  <c r="O98" i="11"/>
  <c r="L98" i="11"/>
  <c r="N98" i="11"/>
  <c r="E97" i="11"/>
  <c r="E106" i="15"/>
  <c r="A103" i="9"/>
  <c r="C102" i="9"/>
  <c r="G101" i="9"/>
  <c r="F101" i="9"/>
  <c r="H107" i="15" s="1"/>
  <c r="E101" i="9"/>
  <c r="D101" i="9"/>
  <c r="I101" i="9"/>
  <c r="J101" i="9"/>
  <c r="H101" i="9"/>
  <c r="A100" i="11"/>
  <c r="C99" i="11"/>
  <c r="J98" i="11"/>
  <c r="H98" i="11"/>
  <c r="G98" i="11"/>
  <c r="F98" i="11"/>
  <c r="I98" i="11"/>
  <c r="K98" i="11"/>
  <c r="A97" i="12"/>
  <c r="C96" i="12"/>
  <c r="B102" i="9"/>
  <c r="B97" i="12"/>
  <c r="B99" i="11"/>
  <c r="E98" i="11" l="1"/>
  <c r="N99" i="11"/>
  <c r="L99" i="11"/>
  <c r="M99" i="11"/>
  <c r="O99" i="11"/>
  <c r="E107" i="15"/>
  <c r="A104" i="9"/>
  <c r="C103" i="9"/>
  <c r="F102" i="9"/>
  <c r="H108" i="15" s="1"/>
  <c r="E102" i="9"/>
  <c r="D102" i="9"/>
  <c r="J102" i="9"/>
  <c r="H102" i="9"/>
  <c r="I102" i="9"/>
  <c r="G102" i="9"/>
  <c r="A101" i="11"/>
  <c r="C100" i="11"/>
  <c r="I99" i="11"/>
  <c r="J99" i="11"/>
  <c r="H99" i="11"/>
  <c r="G99" i="11"/>
  <c r="F99" i="11"/>
  <c r="K99" i="11"/>
  <c r="A98" i="12"/>
  <c r="C97" i="12"/>
  <c r="B103" i="9"/>
  <c r="B98" i="12"/>
  <c r="B100" i="11"/>
  <c r="E99" i="11" l="1"/>
  <c r="N100" i="11"/>
  <c r="M100" i="11"/>
  <c r="O100" i="11"/>
  <c r="L100" i="11"/>
  <c r="E108" i="15"/>
  <c r="A105" i="9"/>
  <c r="C104" i="9"/>
  <c r="D103" i="9"/>
  <c r="H103" i="9"/>
  <c r="I103" i="9"/>
  <c r="F103" i="9"/>
  <c r="H109" i="15" s="1"/>
  <c r="G103" i="9"/>
  <c r="E103" i="9"/>
  <c r="J103" i="9"/>
  <c r="A102" i="11"/>
  <c r="C101" i="11"/>
  <c r="K100" i="11"/>
  <c r="I100" i="11"/>
  <c r="J100" i="11"/>
  <c r="H100" i="11"/>
  <c r="G100" i="11"/>
  <c r="F100" i="11"/>
  <c r="A99" i="12"/>
  <c r="C98" i="12"/>
  <c r="B104" i="9"/>
  <c r="B99" i="12"/>
  <c r="B101" i="11"/>
  <c r="O101" i="11" l="1"/>
  <c r="N101" i="11"/>
  <c r="L101" i="11"/>
  <c r="M101" i="11"/>
  <c r="E100" i="11"/>
  <c r="E109" i="15"/>
  <c r="A106" i="9"/>
  <c r="C105" i="9"/>
  <c r="E104" i="9"/>
  <c r="D104" i="9"/>
  <c r="G104" i="9"/>
  <c r="F104" i="9"/>
  <c r="H110" i="15" s="1"/>
  <c r="J104" i="9"/>
  <c r="H104" i="9"/>
  <c r="I104" i="9"/>
  <c r="A103" i="11"/>
  <c r="C102" i="11"/>
  <c r="K101" i="11"/>
  <c r="I101" i="11"/>
  <c r="J101" i="11"/>
  <c r="H101" i="11"/>
  <c r="G101" i="11"/>
  <c r="F101" i="11"/>
  <c r="A100" i="12"/>
  <c r="C99" i="12"/>
  <c r="B105" i="9"/>
  <c r="B100" i="12"/>
  <c r="B102" i="11"/>
  <c r="L102" i="11" l="1"/>
  <c r="N102" i="11"/>
  <c r="M102" i="11"/>
  <c r="O102" i="11"/>
  <c r="E101" i="11"/>
  <c r="E110" i="15"/>
  <c r="A107" i="9"/>
  <c r="C106" i="9"/>
  <c r="E105" i="9"/>
  <c r="J105" i="9"/>
  <c r="H105" i="9"/>
  <c r="I105" i="9"/>
  <c r="G105" i="9"/>
  <c r="F105" i="9"/>
  <c r="H111" i="15" s="1"/>
  <c r="D105" i="9"/>
  <c r="A104" i="11"/>
  <c r="C103" i="11"/>
  <c r="K102" i="11"/>
  <c r="I102" i="11"/>
  <c r="J102" i="11"/>
  <c r="H102" i="11"/>
  <c r="F102" i="11"/>
  <c r="G102" i="11"/>
  <c r="A101" i="12"/>
  <c r="C100" i="12"/>
  <c r="B106" i="9"/>
  <c r="B101" i="12"/>
  <c r="B103" i="11"/>
  <c r="E102" i="11" l="1"/>
  <c r="M103" i="11"/>
  <c r="O103" i="11"/>
  <c r="N103" i="11"/>
  <c r="L103" i="11"/>
  <c r="E111" i="15"/>
  <c r="A108" i="9"/>
  <c r="C107" i="9"/>
  <c r="I106" i="9"/>
  <c r="G106" i="9"/>
  <c r="F106" i="9"/>
  <c r="H112" i="15" s="1"/>
  <c r="E106" i="9"/>
  <c r="D106" i="9"/>
  <c r="J106" i="9"/>
  <c r="H106" i="9"/>
  <c r="A105" i="11"/>
  <c r="C104" i="11"/>
  <c r="F103" i="11"/>
  <c r="K103" i="11"/>
  <c r="I103" i="11"/>
  <c r="J103" i="11"/>
  <c r="G103" i="11"/>
  <c r="H103" i="11"/>
  <c r="A102" i="12"/>
  <c r="C101" i="12"/>
  <c r="B107" i="9"/>
  <c r="B102" i="12"/>
  <c r="B104" i="11"/>
  <c r="L104" i="11" l="1"/>
  <c r="N104" i="11"/>
  <c r="M104" i="11"/>
  <c r="O104" i="11"/>
  <c r="E103" i="11"/>
  <c r="E112" i="15"/>
  <c r="A109" i="9"/>
  <c r="C108" i="9"/>
  <c r="J107" i="9"/>
  <c r="E107" i="9"/>
  <c r="D107" i="9"/>
  <c r="G107" i="9"/>
  <c r="H107" i="9"/>
  <c r="I107" i="9"/>
  <c r="F107" i="9"/>
  <c r="H113" i="15" s="1"/>
  <c r="A106" i="11"/>
  <c r="C105" i="11"/>
  <c r="G104" i="11"/>
  <c r="F104" i="11"/>
  <c r="K104" i="11"/>
  <c r="I104" i="11"/>
  <c r="H104" i="11"/>
  <c r="J104" i="11"/>
  <c r="A103" i="12"/>
  <c r="C102" i="12"/>
  <c r="B108" i="9"/>
  <c r="B103" i="12"/>
  <c r="B105" i="11"/>
  <c r="L105" i="11" l="1"/>
  <c r="N105" i="11"/>
  <c r="M105" i="11"/>
  <c r="O105" i="11"/>
  <c r="E104" i="11"/>
  <c r="E113" i="15"/>
  <c r="A110" i="9"/>
  <c r="C110" i="9" s="1"/>
  <c r="C109" i="9"/>
  <c r="D108" i="9"/>
  <c r="J108" i="9"/>
  <c r="H108" i="9"/>
  <c r="I108" i="9"/>
  <c r="G108" i="9"/>
  <c r="F108" i="9"/>
  <c r="H114" i="15" s="1"/>
  <c r="E108" i="9"/>
  <c r="A107" i="11"/>
  <c r="C107" i="11" s="1"/>
  <c r="C106" i="11"/>
  <c r="H105" i="11"/>
  <c r="G105" i="11"/>
  <c r="F105" i="11"/>
  <c r="K105" i="11"/>
  <c r="J105" i="11"/>
  <c r="I105" i="11"/>
  <c r="A104" i="12"/>
  <c r="C103" i="12"/>
  <c r="B109" i="9"/>
  <c r="B104" i="12"/>
  <c r="B106" i="11"/>
  <c r="E105" i="11" l="1"/>
  <c r="N106" i="11"/>
  <c r="L106" i="11"/>
  <c r="M106" i="11"/>
  <c r="O106" i="11"/>
  <c r="E114" i="15"/>
  <c r="G109" i="9"/>
  <c r="F109" i="9"/>
  <c r="H115" i="15" s="1"/>
  <c r="E109" i="9"/>
  <c r="D109" i="9"/>
  <c r="I109" i="9"/>
  <c r="H109" i="9"/>
  <c r="J109" i="9"/>
  <c r="J106" i="11"/>
  <c r="H106" i="11"/>
  <c r="G106" i="11"/>
  <c r="F106" i="11"/>
  <c r="I106" i="11"/>
  <c r="K106" i="11"/>
  <c r="A105" i="12"/>
  <c r="C105" i="12" s="1"/>
  <c r="C104" i="12"/>
  <c r="B110" i="9"/>
  <c r="B105" i="12"/>
  <c r="B107" i="11"/>
  <c r="N107" i="11" l="1"/>
  <c r="L107" i="11"/>
  <c r="M107" i="11"/>
  <c r="O107" i="11"/>
  <c r="E106" i="11"/>
  <c r="E115" i="15"/>
  <c r="F110" i="9"/>
  <c r="H116" i="15" s="1"/>
  <c r="D110" i="9"/>
  <c r="J110" i="9"/>
  <c r="E110" i="9"/>
  <c r="H110" i="9"/>
  <c r="I110" i="9"/>
  <c r="G110" i="9"/>
  <c r="I107" i="11"/>
  <c r="J107" i="11"/>
  <c r="H107" i="11"/>
  <c r="G107" i="11"/>
  <c r="F107" i="11"/>
  <c r="K107" i="11"/>
  <c r="E107" i="11" l="1"/>
  <c r="E116" i="15"/>
  <c r="F17" i="15" l="1"/>
  <c r="G17" i="15" s="1"/>
  <c r="B58" i="13" l="1"/>
  <c r="B59" i="13"/>
  <c r="C59" i="13" s="1"/>
  <c r="I8" i="17" l="1"/>
  <c r="C58" i="13"/>
  <c r="P11" i="12" l="1"/>
  <c r="P17" i="12"/>
  <c r="P103" i="12"/>
  <c r="P95" i="12"/>
  <c r="P87" i="12"/>
  <c r="P79" i="12"/>
  <c r="P71" i="12"/>
  <c r="P63" i="12"/>
  <c r="Q63" i="12" s="1"/>
  <c r="P55" i="12"/>
  <c r="P47" i="12"/>
  <c r="P39" i="12"/>
  <c r="P31" i="12"/>
  <c r="P23" i="12"/>
  <c r="P15" i="12"/>
  <c r="P93" i="12"/>
  <c r="Q93" i="12" s="1"/>
  <c r="P69" i="12"/>
  <c r="P53" i="12"/>
  <c r="P37" i="12"/>
  <c r="P21" i="12"/>
  <c r="P100" i="12"/>
  <c r="P84" i="12"/>
  <c r="P60" i="12"/>
  <c r="P44" i="12"/>
  <c r="Q44" i="12" s="1"/>
  <c r="P28" i="12"/>
  <c r="P12" i="12"/>
  <c r="P80" i="12"/>
  <c r="P48" i="12"/>
  <c r="P16" i="12"/>
  <c r="P102" i="12"/>
  <c r="P94" i="12"/>
  <c r="P86" i="12"/>
  <c r="P78" i="12"/>
  <c r="P70" i="12"/>
  <c r="P62" i="12"/>
  <c r="P54" i="12"/>
  <c r="P46" i="12"/>
  <c r="P38" i="12"/>
  <c r="P30" i="12"/>
  <c r="P22" i="12"/>
  <c r="Q22" i="12" s="1"/>
  <c r="P14" i="12"/>
  <c r="P101" i="12"/>
  <c r="P85" i="12"/>
  <c r="P77" i="12"/>
  <c r="P61" i="12"/>
  <c r="P45" i="12"/>
  <c r="Q45" i="12" s="1"/>
  <c r="P29" i="12"/>
  <c r="P13" i="12"/>
  <c r="Q13" i="12" s="1"/>
  <c r="P92" i="12"/>
  <c r="P76" i="12"/>
  <c r="P68" i="12"/>
  <c r="P52" i="12"/>
  <c r="P36" i="12"/>
  <c r="P20" i="12"/>
  <c r="P104" i="12"/>
  <c r="P72" i="12"/>
  <c r="P40" i="12"/>
  <c r="Q40" i="12" s="1"/>
  <c r="P99" i="12"/>
  <c r="P91" i="12"/>
  <c r="P83" i="12"/>
  <c r="P75" i="12"/>
  <c r="P67" i="12"/>
  <c r="Q67" i="12" s="1"/>
  <c r="P59" i="12"/>
  <c r="P51" i="12"/>
  <c r="P43" i="12"/>
  <c r="P35" i="12"/>
  <c r="P27" i="12"/>
  <c r="P19" i="12"/>
  <c r="P33" i="12"/>
  <c r="Q33" i="12" s="1"/>
  <c r="P88" i="12"/>
  <c r="P56" i="12"/>
  <c r="P24" i="12"/>
  <c r="P98" i="12"/>
  <c r="Q98" i="12" s="1"/>
  <c r="P90" i="12"/>
  <c r="P82" i="12"/>
  <c r="P74" i="12"/>
  <c r="Q74" i="12" s="1"/>
  <c r="P66" i="12"/>
  <c r="Q66" i="12" s="1"/>
  <c r="P58" i="12"/>
  <c r="P50" i="12"/>
  <c r="Q50" i="12" s="1"/>
  <c r="P42" i="12"/>
  <c r="P34" i="12"/>
  <c r="Q34" i="12" s="1"/>
  <c r="P26" i="12"/>
  <c r="P18" i="12"/>
  <c r="Q18" i="12" s="1"/>
  <c r="P105" i="12"/>
  <c r="P97" i="12"/>
  <c r="Q97" i="12" s="1"/>
  <c r="P89" i="12"/>
  <c r="P81" i="12"/>
  <c r="Q81" i="12" s="1"/>
  <c r="P73" i="12"/>
  <c r="P65" i="12"/>
  <c r="Q65" i="12" s="1"/>
  <c r="P57" i="12"/>
  <c r="P49" i="12"/>
  <c r="P41" i="12"/>
  <c r="Q41" i="12" s="1"/>
  <c r="P25" i="12"/>
  <c r="P96" i="12"/>
  <c r="P64" i="12"/>
  <c r="Q64" i="12" s="1"/>
  <c r="Q70" i="12"/>
  <c r="Q62" i="12"/>
  <c r="Q61" i="12"/>
  <c r="Q53" i="12"/>
  <c r="Q29" i="12"/>
  <c r="Q84" i="12"/>
  <c r="Q76" i="12"/>
  <c r="Q60" i="12"/>
  <c r="Q12" i="12"/>
  <c r="Q17" i="12"/>
  <c r="Q95" i="12"/>
  <c r="Q23" i="12"/>
  <c r="G95" i="13"/>
  <c r="G88" i="13"/>
  <c r="G121" i="13"/>
  <c r="C114" i="13"/>
  <c r="C72" i="13"/>
  <c r="C162" i="13"/>
  <c r="G79" i="13"/>
  <c r="C80" i="13"/>
  <c r="G71" i="13"/>
  <c r="C88" i="13"/>
  <c r="G102" i="13"/>
  <c r="G115" i="13"/>
  <c r="C96" i="13"/>
  <c r="G89" i="13"/>
  <c r="C104" i="13"/>
  <c r="G90" i="13"/>
  <c r="G83" i="13"/>
  <c r="G93" i="13"/>
  <c r="C93" i="13"/>
  <c r="G75" i="13"/>
  <c r="G70" i="13"/>
  <c r="C90" i="13"/>
  <c r="C106" i="13"/>
  <c r="G106" i="13"/>
  <c r="C101" i="13"/>
  <c r="C126" i="13"/>
  <c r="G108" i="13"/>
  <c r="G76" i="13"/>
  <c r="G91" i="13"/>
  <c r="G74" i="13"/>
  <c r="G78" i="13"/>
  <c r="C76" i="13"/>
  <c r="C92" i="13"/>
  <c r="G111" i="13"/>
  <c r="C73" i="13"/>
  <c r="C105" i="13"/>
  <c r="C128" i="13"/>
  <c r="G116" i="13"/>
  <c r="G109" i="13"/>
  <c r="C74" i="13"/>
  <c r="G92" i="13"/>
  <c r="G87" i="13"/>
  <c r="G82" i="13"/>
  <c r="G86" i="13"/>
  <c r="C78" i="13"/>
  <c r="C94" i="13"/>
  <c r="G94" i="13"/>
  <c r="C75" i="13"/>
  <c r="C107" i="13"/>
  <c r="C130" i="13"/>
  <c r="G122" i="13"/>
  <c r="G100" i="13"/>
  <c r="C77" i="13"/>
  <c r="G119" i="13"/>
  <c r="C138" i="13"/>
  <c r="G140" i="13"/>
  <c r="G104" i="13"/>
  <c r="G72" i="13"/>
  <c r="G97" i="13"/>
  <c r="C98" i="13"/>
  <c r="C85" i="13"/>
  <c r="G107" i="13"/>
  <c r="C142" i="13"/>
  <c r="G142" i="13"/>
  <c r="G73" i="13"/>
  <c r="G84" i="13"/>
  <c r="G77" i="13"/>
  <c r="G103" i="13"/>
  <c r="C84" i="13"/>
  <c r="C100" i="13"/>
  <c r="G117" i="13"/>
  <c r="C89" i="13"/>
  <c r="C110" i="13"/>
  <c r="C144" i="13"/>
  <c r="G154" i="13"/>
  <c r="G113" i="13"/>
  <c r="C82" i="13"/>
  <c r="G69" i="13"/>
  <c r="G80" i="13"/>
  <c r="G81" i="13"/>
  <c r="G85" i="13"/>
  <c r="C70" i="13"/>
  <c r="C86" i="13"/>
  <c r="C102" i="13"/>
  <c r="G96" i="13"/>
  <c r="C91" i="13"/>
  <c r="C112" i="13"/>
  <c r="C158" i="13"/>
  <c r="C117" i="13"/>
  <c r="C121" i="13"/>
  <c r="G124" i="13"/>
  <c r="C141" i="13"/>
  <c r="C146" i="13"/>
  <c r="G126" i="13"/>
  <c r="C149" i="13"/>
  <c r="C122" i="13"/>
  <c r="C154" i="13"/>
  <c r="G134" i="13"/>
  <c r="N11" i="12"/>
  <c r="G131" i="13"/>
  <c r="G139" i="13"/>
  <c r="G158" i="13"/>
  <c r="C71" i="13"/>
  <c r="C87" i="13"/>
  <c r="C103" i="13"/>
  <c r="C108" i="13"/>
  <c r="C124" i="13"/>
  <c r="C140" i="13"/>
  <c r="C156" i="13"/>
  <c r="G118" i="13"/>
  <c r="G138" i="13"/>
  <c r="G156" i="13"/>
  <c r="C119" i="13"/>
  <c r="C147" i="13"/>
  <c r="G137" i="13"/>
  <c r="G160" i="13"/>
  <c r="C123" i="13"/>
  <c r="C155" i="13"/>
  <c r="G151" i="13"/>
  <c r="G144" i="13"/>
  <c r="G162" i="13"/>
  <c r="C125" i="13"/>
  <c r="C157" i="13"/>
  <c r="G159" i="13"/>
  <c r="C79" i="13"/>
  <c r="C95" i="13"/>
  <c r="G99" i="13"/>
  <c r="C116" i="13"/>
  <c r="C132" i="13"/>
  <c r="C148" i="13"/>
  <c r="G110" i="13"/>
  <c r="G128" i="13"/>
  <c r="G146" i="13"/>
  <c r="C109" i="13"/>
  <c r="C131" i="13"/>
  <c r="C163" i="13"/>
  <c r="G161" i="13"/>
  <c r="G98" i="13"/>
  <c r="C81" i="13"/>
  <c r="C97" i="13"/>
  <c r="G101" i="13"/>
  <c r="C118" i="13"/>
  <c r="C134" i="13"/>
  <c r="C150" i="13"/>
  <c r="G112" i="13"/>
  <c r="G130" i="13"/>
  <c r="G148" i="13"/>
  <c r="C111" i="13"/>
  <c r="C133" i="13"/>
  <c r="G123" i="13"/>
  <c r="N25" i="12"/>
  <c r="C83" i="13"/>
  <c r="C99" i="13"/>
  <c r="G105" i="13"/>
  <c r="C120" i="13"/>
  <c r="C136" i="13"/>
  <c r="C152" i="13"/>
  <c r="G114" i="13"/>
  <c r="G132" i="13"/>
  <c r="G150" i="13"/>
  <c r="C115" i="13"/>
  <c r="C139" i="13"/>
  <c r="G129" i="13"/>
  <c r="C135" i="13"/>
  <c r="C151" i="13"/>
  <c r="G125" i="13"/>
  <c r="G141" i="13"/>
  <c r="N104" i="12"/>
  <c r="N15" i="12"/>
  <c r="N70" i="12"/>
  <c r="N41" i="12"/>
  <c r="C137" i="13"/>
  <c r="C153" i="13"/>
  <c r="G127" i="13"/>
  <c r="G143" i="13"/>
  <c r="N17" i="12"/>
  <c r="N12" i="12"/>
  <c r="N45" i="12"/>
  <c r="G145" i="13"/>
  <c r="Q16" i="12"/>
  <c r="N18" i="12"/>
  <c r="N94" i="12"/>
  <c r="C127" i="13"/>
  <c r="C143" i="13"/>
  <c r="C159" i="13"/>
  <c r="G133" i="13"/>
  <c r="G153" i="13"/>
  <c r="Q36" i="12"/>
  <c r="Q75" i="12"/>
  <c r="C160" i="13"/>
  <c r="G120" i="13"/>
  <c r="G136" i="13"/>
  <c r="G152" i="13"/>
  <c r="C113" i="13"/>
  <c r="C129" i="13"/>
  <c r="C145" i="13"/>
  <c r="C161" i="13"/>
  <c r="G135" i="13"/>
  <c r="G155" i="13"/>
  <c r="N62" i="12"/>
  <c r="N68" i="12"/>
  <c r="N48" i="12"/>
  <c r="N29" i="12"/>
  <c r="Q15" i="12"/>
  <c r="N96" i="12"/>
  <c r="Q38" i="12"/>
  <c r="N27" i="12"/>
  <c r="N43" i="12"/>
  <c r="N102" i="12"/>
  <c r="N58" i="12"/>
  <c r="G157" i="13"/>
  <c r="N13" i="12"/>
  <c r="N14" i="12"/>
  <c r="Q54" i="12"/>
  <c r="N80" i="12"/>
  <c r="N31" i="12"/>
  <c r="N47" i="12"/>
  <c r="N92" i="12"/>
  <c r="N21" i="12"/>
  <c r="Q21" i="12" s="1"/>
  <c r="N16" i="12"/>
  <c r="N66" i="12"/>
  <c r="Q85" i="12"/>
  <c r="N33" i="12"/>
  <c r="N49" i="12"/>
  <c r="N88" i="12"/>
  <c r="N35" i="12"/>
  <c r="N51" i="12"/>
  <c r="N22" i="12"/>
  <c r="G147" i="13"/>
  <c r="G163" i="13"/>
  <c r="N19" i="12"/>
  <c r="N37" i="12"/>
  <c r="N53" i="12"/>
  <c r="N32" i="12"/>
  <c r="P32" i="12" s="1"/>
  <c r="N81" i="12"/>
  <c r="G149" i="13"/>
  <c r="Q52" i="12"/>
  <c r="N23" i="12"/>
  <c r="N39" i="12"/>
  <c r="N86" i="12"/>
  <c r="N38" i="12"/>
  <c r="AA33" i="12"/>
  <c r="N74" i="12"/>
  <c r="N34" i="12"/>
  <c r="N52" i="12"/>
  <c r="N59" i="12"/>
  <c r="N83" i="12"/>
  <c r="AA37" i="12"/>
  <c r="N84" i="12"/>
  <c r="N20" i="12"/>
  <c r="N36" i="12"/>
  <c r="N54" i="12"/>
  <c r="N61" i="12"/>
  <c r="N87" i="12"/>
  <c r="AA104" i="12"/>
  <c r="Q90" i="12"/>
  <c r="N65" i="12"/>
  <c r="N93" i="12"/>
  <c r="AA62" i="12"/>
  <c r="Q39" i="12"/>
  <c r="Q55" i="12"/>
  <c r="N100" i="12"/>
  <c r="N24" i="12"/>
  <c r="N40" i="12"/>
  <c r="N78" i="12"/>
  <c r="N67" i="12"/>
  <c r="AA66" i="12"/>
  <c r="AA28" i="12"/>
  <c r="N55" i="12"/>
  <c r="N26" i="12"/>
  <c r="N42" i="12"/>
  <c r="N82" i="12"/>
  <c r="N69" i="12"/>
  <c r="AA82" i="12"/>
  <c r="AA92" i="12"/>
  <c r="N57" i="12"/>
  <c r="N72" i="12"/>
  <c r="N60" i="12"/>
  <c r="N76" i="12"/>
  <c r="N28" i="12"/>
  <c r="N44" i="12"/>
  <c r="N90" i="12"/>
  <c r="N71" i="12"/>
  <c r="AA17" i="12"/>
  <c r="AA53" i="12"/>
  <c r="Q77" i="12"/>
  <c r="N64" i="12"/>
  <c r="N30" i="12"/>
  <c r="N46" i="12"/>
  <c r="AA50" i="12"/>
  <c r="Q100" i="12"/>
  <c r="N77" i="12"/>
  <c r="AA21" i="12"/>
  <c r="AA81" i="12"/>
  <c r="AA12" i="12"/>
  <c r="AA65" i="12"/>
  <c r="AA16" i="12"/>
  <c r="AA69" i="12"/>
  <c r="AA32" i="12"/>
  <c r="AA85" i="12"/>
  <c r="N97" i="12"/>
  <c r="AA49" i="12"/>
  <c r="AA44" i="12"/>
  <c r="AA97" i="12"/>
  <c r="N103" i="12"/>
  <c r="AA56" i="12"/>
  <c r="AA48" i="12"/>
  <c r="AA101" i="12"/>
  <c r="N56" i="12"/>
  <c r="N63" i="12"/>
  <c r="N79" i="12"/>
  <c r="N95" i="12"/>
  <c r="AA74" i="12"/>
  <c r="AA19" i="12"/>
  <c r="AA35" i="12"/>
  <c r="AA52" i="12"/>
  <c r="AA54" i="12"/>
  <c r="AA14" i="12"/>
  <c r="AA30" i="12"/>
  <c r="AA46" i="12"/>
  <c r="AA100" i="12"/>
  <c r="AA67" i="12"/>
  <c r="AA83" i="12"/>
  <c r="AA99" i="12"/>
  <c r="N99" i="12"/>
  <c r="AA90" i="12"/>
  <c r="AA23" i="12"/>
  <c r="AA39" i="12"/>
  <c r="AA64" i="12"/>
  <c r="AA70" i="12"/>
  <c r="AA18" i="12"/>
  <c r="AA34" i="12"/>
  <c r="AA51" i="12"/>
  <c r="AA55" i="12"/>
  <c r="AA71" i="12"/>
  <c r="AA87" i="12"/>
  <c r="AA103" i="12"/>
  <c r="N85" i="12"/>
  <c r="N101" i="12"/>
  <c r="AA98" i="12"/>
  <c r="AA25" i="12"/>
  <c r="AA41" i="12"/>
  <c r="AA72" i="12"/>
  <c r="AA78" i="12"/>
  <c r="AA20" i="12"/>
  <c r="AA36" i="12"/>
  <c r="AA60" i="12"/>
  <c r="AA57" i="12"/>
  <c r="AA73" i="12"/>
  <c r="AA89" i="12"/>
  <c r="AA105" i="12"/>
  <c r="AA11" i="12"/>
  <c r="AA27" i="12"/>
  <c r="AA43" i="12"/>
  <c r="AA80" i="12"/>
  <c r="AA86" i="12"/>
  <c r="AA22" i="12"/>
  <c r="AA38" i="12"/>
  <c r="AA68" i="12"/>
  <c r="AA59" i="12"/>
  <c r="AA75" i="12"/>
  <c r="AA91" i="12"/>
  <c r="AM12" i="7"/>
  <c r="N50" i="12"/>
  <c r="N98" i="12"/>
  <c r="N73" i="12"/>
  <c r="N89" i="12"/>
  <c r="N105" i="12"/>
  <c r="AA13" i="12"/>
  <c r="AA29" i="12"/>
  <c r="AA45" i="12"/>
  <c r="AA88" i="12"/>
  <c r="AA94" i="12"/>
  <c r="AA24" i="12"/>
  <c r="AA40" i="12"/>
  <c r="AA76" i="12"/>
  <c r="AA61" i="12"/>
  <c r="AA77" i="12"/>
  <c r="AA93" i="12"/>
  <c r="N75" i="12"/>
  <c r="N91" i="12"/>
  <c r="AA58" i="12"/>
  <c r="AA15" i="12"/>
  <c r="AA31" i="12"/>
  <c r="AA47" i="12"/>
  <c r="AA96" i="12"/>
  <c r="AA102" i="12"/>
  <c r="AA26" i="12"/>
  <c r="AA42" i="12"/>
  <c r="AA84" i="12"/>
  <c r="AA63" i="12"/>
  <c r="AA79" i="12"/>
  <c r="AA95" i="12"/>
  <c r="C69" i="13"/>
  <c r="Q14" i="12" l="1"/>
  <c r="S79" i="12"/>
  <c r="Q56" i="12"/>
  <c r="Q25" i="12"/>
  <c r="Q58" i="12"/>
  <c r="Q101" i="12"/>
  <c r="Q89" i="12"/>
  <c r="Q31" i="12"/>
  <c r="Q103" i="12"/>
  <c r="Q49" i="12"/>
  <c r="Q82" i="12"/>
  <c r="Q51" i="12"/>
  <c r="Q28" i="12"/>
  <c r="Q92" i="12"/>
  <c r="Q30" i="12"/>
  <c r="Q94" i="12"/>
  <c r="Q19" i="12"/>
  <c r="Q47" i="12"/>
  <c r="Q24" i="12"/>
  <c r="Q71" i="12"/>
  <c r="Q68" i="12"/>
  <c r="Q99" i="12"/>
  <c r="S37" i="12"/>
  <c r="S61" i="12"/>
  <c r="U48" i="12"/>
  <c r="R85" i="12"/>
  <c r="R56" i="12"/>
  <c r="T64" i="12"/>
  <c r="R30" i="12"/>
  <c r="R15" i="12"/>
  <c r="Q20" i="12"/>
  <c r="R43" i="12"/>
  <c r="Y6" i="12"/>
  <c r="X6" i="12"/>
  <c r="S97" i="12"/>
  <c r="R20" i="12"/>
  <c r="R19" i="12"/>
  <c r="U47" i="12"/>
  <c r="R54" i="12"/>
  <c r="S42" i="12"/>
  <c r="S11" i="12"/>
  <c r="R71" i="12"/>
  <c r="S36" i="12"/>
  <c r="S15" i="12"/>
  <c r="U15" i="12"/>
  <c r="T15" i="12"/>
  <c r="S88" i="12"/>
  <c r="T80" i="12"/>
  <c r="T79" i="12"/>
  <c r="R103" i="12"/>
  <c r="R61" i="12"/>
  <c r="T102" i="12"/>
  <c r="U79" i="12"/>
  <c r="Q80" i="12"/>
  <c r="Q79" i="12"/>
  <c r="R79" i="12"/>
  <c r="T20" i="12"/>
  <c r="Q88" i="12"/>
  <c r="U86" i="12"/>
  <c r="S21" i="12"/>
  <c r="U70" i="12"/>
  <c r="U100" i="12"/>
  <c r="R47" i="12"/>
  <c r="U20" i="12"/>
  <c r="T19" i="12"/>
  <c r="U19" i="12"/>
  <c r="T38" i="12"/>
  <c r="S20" i="12"/>
  <c r="S47" i="12"/>
  <c r="T47" i="12"/>
  <c r="U90" i="12"/>
  <c r="U34" i="12"/>
  <c r="S90" i="12"/>
  <c r="S19" i="12"/>
  <c r="U63" i="12"/>
  <c r="U98" i="12"/>
  <c r="S31" i="12"/>
  <c r="T26" i="12"/>
  <c r="T88" i="12"/>
  <c r="U80" i="12"/>
  <c r="T50" i="12"/>
  <c r="T96" i="12"/>
  <c r="R88" i="12"/>
  <c r="Q37" i="12"/>
  <c r="R11" i="12"/>
  <c r="R93" i="12"/>
  <c r="R76" i="12"/>
  <c r="S80" i="12"/>
  <c r="R80" i="12"/>
  <c r="R29" i="12"/>
  <c r="U88" i="12"/>
  <c r="R90" i="12"/>
  <c r="S34" i="12"/>
  <c r="R28" i="12"/>
  <c r="R38" i="12"/>
  <c r="S38" i="12"/>
  <c r="T34" i="12"/>
  <c r="S29" i="12"/>
  <c r="R78" i="12"/>
  <c r="T31" i="12"/>
  <c r="S25" i="12"/>
  <c r="U11" i="12"/>
  <c r="Q11" i="12"/>
  <c r="T44" i="12"/>
  <c r="U76" i="12"/>
  <c r="T66" i="12"/>
  <c r="U31" i="12"/>
  <c r="R25" i="12"/>
  <c r="U44" i="12"/>
  <c r="U38" i="12"/>
  <c r="R31" i="12"/>
  <c r="U16" i="12"/>
  <c r="S44" i="12"/>
  <c r="S16" i="12"/>
  <c r="U25" i="12"/>
  <c r="S76" i="12"/>
  <c r="T11" i="12"/>
  <c r="R44" i="12"/>
  <c r="T16" i="12"/>
  <c r="T76" i="12"/>
  <c r="R45" i="12"/>
  <c r="U66" i="12"/>
  <c r="R16" i="12"/>
  <c r="T25" i="12"/>
  <c r="S66" i="12"/>
  <c r="S72" i="12"/>
  <c r="R66" i="12"/>
  <c r="S26" i="12"/>
  <c r="R37" i="12"/>
  <c r="R100" i="12"/>
  <c r="T37" i="12"/>
  <c r="U37" i="12"/>
  <c r="S87" i="12"/>
  <c r="T90" i="12"/>
  <c r="T29" i="12"/>
  <c r="U29" i="12"/>
  <c r="T100" i="12"/>
  <c r="R39" i="12"/>
  <c r="U96" i="12"/>
  <c r="R96" i="12"/>
  <c r="Q26" i="12"/>
  <c r="R26" i="12"/>
  <c r="R34" i="12"/>
  <c r="U26" i="12"/>
  <c r="S100" i="12"/>
  <c r="T69" i="12"/>
  <c r="S46" i="12"/>
  <c r="T43" i="12"/>
  <c r="T105" i="12"/>
  <c r="Q96" i="12"/>
  <c r="S96" i="12"/>
  <c r="S91" i="12"/>
  <c r="U99" i="12"/>
  <c r="U73" i="12"/>
  <c r="Q78" i="12"/>
  <c r="Q86" i="12"/>
  <c r="S28" i="12"/>
  <c r="S14" i="12"/>
  <c r="T39" i="12"/>
  <c r="S40" i="12"/>
  <c r="U102" i="12"/>
  <c r="R21" i="12"/>
  <c r="T40" i="12"/>
  <c r="U21" i="12"/>
  <c r="Q73" i="12"/>
  <c r="U39" i="12"/>
  <c r="T83" i="12"/>
  <c r="R68" i="12"/>
  <c r="S102" i="12"/>
  <c r="R60" i="12"/>
  <c r="T14" i="12"/>
  <c r="S73" i="12"/>
  <c r="Q91" i="12"/>
  <c r="S39" i="12"/>
  <c r="S60" i="12"/>
  <c r="U14" i="12"/>
  <c r="R91" i="12"/>
  <c r="T60" i="12"/>
  <c r="U60" i="12"/>
  <c r="T91" i="12"/>
  <c r="R73" i="12"/>
  <c r="Q102" i="12"/>
  <c r="S99" i="12"/>
  <c r="R70" i="12"/>
  <c r="T70" i="12"/>
  <c r="U91" i="12"/>
  <c r="R14" i="12"/>
  <c r="R99" i="12"/>
  <c r="R95" i="12"/>
  <c r="R102" i="12"/>
  <c r="T99" i="12"/>
  <c r="S70" i="12"/>
  <c r="T21" i="12"/>
  <c r="S17" i="12"/>
  <c r="U59" i="12"/>
  <c r="U105" i="12"/>
  <c r="S49" i="12"/>
  <c r="R46" i="12"/>
  <c r="T94" i="12"/>
  <c r="U17" i="12"/>
  <c r="T74" i="12"/>
  <c r="R87" i="12"/>
  <c r="T75" i="12"/>
  <c r="R17" i="12"/>
  <c r="T17" i="12"/>
  <c r="S69" i="12"/>
  <c r="U94" i="12"/>
  <c r="S43" i="12"/>
  <c r="R27" i="12"/>
  <c r="S30" i="12"/>
  <c r="S71" i="12"/>
  <c r="Q48" i="12"/>
  <c r="S12" i="12"/>
  <c r="S48" i="12"/>
  <c r="U12" i="12"/>
  <c r="T12" i="12"/>
  <c r="T49" i="12"/>
  <c r="S94" i="12"/>
  <c r="U71" i="12"/>
  <c r="Q87" i="12"/>
  <c r="U46" i="12"/>
  <c r="S105" i="12"/>
  <c r="R59" i="12"/>
  <c r="S104" i="12"/>
  <c r="Q105" i="12"/>
  <c r="U93" i="12"/>
  <c r="T71" i="12"/>
  <c r="T48" i="12"/>
  <c r="T87" i="12"/>
  <c r="R49" i="12"/>
  <c r="S93" i="12"/>
  <c r="S74" i="12"/>
  <c r="S58" i="12"/>
  <c r="R12" i="12"/>
  <c r="R48" i="12"/>
  <c r="T73" i="12"/>
  <c r="T62" i="12"/>
  <c r="U49" i="12"/>
  <c r="U87" i="12"/>
  <c r="Q69" i="12"/>
  <c r="Q43" i="12"/>
  <c r="R62" i="12"/>
  <c r="U30" i="12"/>
  <c r="R105" i="12"/>
  <c r="R40" i="12"/>
  <c r="U58" i="12"/>
  <c r="T59" i="12"/>
  <c r="U62" i="12"/>
  <c r="U74" i="12"/>
  <c r="U43" i="12"/>
  <c r="T35" i="12"/>
  <c r="U69" i="12"/>
  <c r="R69" i="12"/>
  <c r="T46" i="12"/>
  <c r="U40" i="12"/>
  <c r="T58" i="12"/>
  <c r="Q59" i="12"/>
  <c r="S62" i="12"/>
  <c r="T93" i="12"/>
  <c r="R74" i="12"/>
  <c r="R94" i="12"/>
  <c r="Q46" i="12"/>
  <c r="T30" i="12"/>
  <c r="R58" i="12"/>
  <c r="S59" i="12"/>
  <c r="T57" i="12"/>
  <c r="S55" i="12"/>
  <c r="S22" i="12"/>
  <c r="T13" i="12"/>
  <c r="S86" i="12"/>
  <c r="R65" i="12"/>
  <c r="U68" i="12"/>
  <c r="T18" i="12"/>
  <c r="S68" i="12"/>
  <c r="U18" i="12"/>
  <c r="S27" i="12"/>
  <c r="R75" i="12"/>
  <c r="U55" i="12"/>
  <c r="S53" i="12"/>
  <c r="U42" i="12"/>
  <c r="S45" i="12"/>
  <c r="S41" i="12"/>
  <c r="U85" i="12"/>
  <c r="R18" i="12"/>
  <c r="S18" i="12"/>
  <c r="T68" i="12"/>
  <c r="R64" i="12"/>
  <c r="U56" i="12"/>
  <c r="R35" i="12"/>
  <c r="T86" i="12"/>
  <c r="U54" i="12"/>
  <c r="S23" i="12"/>
  <c r="U53" i="12"/>
  <c r="T41" i="12"/>
  <c r="U41" i="12"/>
  <c r="U61" i="12"/>
  <c r="R53" i="12"/>
  <c r="R41" i="12"/>
  <c r="T45" i="12"/>
  <c r="R101" i="12"/>
  <c r="S35" i="12"/>
  <c r="S101" i="12"/>
  <c r="T103" i="12"/>
  <c r="T23" i="12"/>
  <c r="T53" i="12"/>
  <c r="T82" i="12"/>
  <c r="T24" i="12"/>
  <c r="S83" i="12"/>
  <c r="T51" i="12"/>
  <c r="T33" i="12"/>
  <c r="T81" i="12"/>
  <c r="R86" i="12"/>
  <c r="T63" i="12"/>
  <c r="T61" i="12"/>
  <c r="T42" i="12"/>
  <c r="S54" i="12"/>
  <c r="U45" i="12"/>
  <c r="U35" i="12"/>
  <c r="T72" i="12"/>
  <c r="U101" i="12"/>
  <c r="R72" i="12"/>
  <c r="T101" i="12"/>
  <c r="R42" i="12"/>
  <c r="Q42" i="12"/>
  <c r="T54" i="12"/>
  <c r="Q35" i="12"/>
  <c r="R52" i="12"/>
  <c r="T67" i="12"/>
  <c r="U51" i="12"/>
  <c r="S85" i="12"/>
  <c r="S56" i="12"/>
  <c r="U83" i="12"/>
  <c r="S32" i="12"/>
  <c r="T22" i="12"/>
  <c r="T55" i="12"/>
  <c r="U64" i="12"/>
  <c r="S65" i="12"/>
  <c r="Q27" i="12"/>
  <c r="R55" i="12"/>
  <c r="R33" i="12"/>
  <c r="U97" i="12"/>
  <c r="T85" i="12"/>
  <c r="T56" i="12"/>
  <c r="T32" i="12"/>
  <c r="R22" i="12"/>
  <c r="S89" i="12"/>
  <c r="U13" i="12"/>
  <c r="U33" i="12"/>
  <c r="U67" i="12"/>
  <c r="S51" i="12"/>
  <c r="U27" i="12"/>
  <c r="S81" i="12"/>
  <c r="R98" i="12"/>
  <c r="S64" i="12"/>
  <c r="U81" i="12"/>
  <c r="T97" i="12"/>
  <c r="U89" i="12"/>
  <c r="R13" i="12"/>
  <c r="R32" i="12"/>
  <c r="U22" i="12"/>
  <c r="R81" i="12"/>
  <c r="U82" i="12"/>
  <c r="U65" i="12"/>
  <c r="S98" i="12"/>
  <c r="R97" i="12"/>
  <c r="T65" i="12"/>
  <c r="T89" i="12"/>
  <c r="T36" i="12"/>
  <c r="S13" i="12"/>
  <c r="U32" i="12"/>
  <c r="R24" i="12"/>
  <c r="T98" i="12"/>
  <c r="U57" i="12"/>
  <c r="R82" i="12"/>
  <c r="S82" i="12"/>
  <c r="R51" i="12"/>
  <c r="S67" i="12"/>
  <c r="R36" i="12"/>
  <c r="Q83" i="12"/>
  <c r="S50" i="12"/>
  <c r="U24" i="12"/>
  <c r="T27" i="12"/>
  <c r="U36" i="12"/>
  <c r="R83" i="12"/>
  <c r="S24" i="12"/>
  <c r="S33" i="12"/>
  <c r="R67" i="12"/>
  <c r="R89" i="12"/>
  <c r="S84" i="12"/>
  <c r="S52" i="12"/>
  <c r="T84" i="12"/>
  <c r="U103" i="12"/>
  <c r="S92" i="12"/>
  <c r="R84" i="12"/>
  <c r="S103" i="12"/>
  <c r="S63" i="12"/>
  <c r="T52" i="12"/>
  <c r="U28" i="12"/>
  <c r="S57" i="12"/>
  <c r="Q57" i="12"/>
  <c r="U72" i="12"/>
  <c r="U52" i="12"/>
  <c r="T28" i="12"/>
  <c r="R77" i="12"/>
  <c r="R63" i="12"/>
  <c r="Q72" i="12"/>
  <c r="U84" i="12"/>
  <c r="T77" i="12"/>
  <c r="R57" i="12"/>
  <c r="U23" i="12"/>
  <c r="U77" i="12"/>
  <c r="R23" i="12"/>
  <c r="S77" i="12"/>
  <c r="R92" i="12"/>
  <c r="T92" i="12"/>
  <c r="U92" i="12"/>
  <c r="R50" i="12"/>
  <c r="U50" i="12"/>
  <c r="T78" i="12"/>
  <c r="T104" i="12"/>
  <c r="U78" i="12"/>
  <c r="S78" i="12"/>
  <c r="Q104" i="12"/>
  <c r="R104" i="12"/>
  <c r="U95" i="12"/>
  <c r="U75" i="12"/>
  <c r="U104" i="12"/>
  <c r="S95" i="12"/>
  <c r="S75" i="12"/>
  <c r="T95" i="12"/>
  <c r="Q32" i="12" l="1"/>
  <c r="O6" i="12"/>
  <c r="AC6" i="12" s="1"/>
  <c r="V7" i="12"/>
  <c r="F6" i="12" l="1"/>
  <c r="K64" i="13" s="1"/>
  <c r="W7" i="12"/>
  <c r="X7" i="12" s="1"/>
  <c r="AG6" i="12" l="1"/>
  <c r="AH6" i="12"/>
  <c r="AJ6" i="12"/>
  <c r="J6" i="12" s="1"/>
  <c r="AF6" i="12"/>
  <c r="AE6" i="12"/>
  <c r="H6" i="12" s="1"/>
  <c r="AD6" i="12"/>
  <c r="G6" i="12" s="1"/>
  <c r="J17" i="15" s="1"/>
  <c r="O7" i="12"/>
  <c r="AC7" i="12" s="1"/>
  <c r="V8" i="12"/>
  <c r="Y7" i="12"/>
  <c r="AK6" i="12" l="1"/>
  <c r="AI7" i="12" s="1"/>
  <c r="I7" i="12" s="1"/>
  <c r="T18" i="15" s="1"/>
  <c r="F7" i="12"/>
  <c r="K65" i="13" s="1"/>
  <c r="AL6" i="12"/>
  <c r="L6" i="12" s="1"/>
  <c r="K6" i="12" s="1"/>
  <c r="H64" i="13" s="1"/>
  <c r="I64" i="13" s="1"/>
  <c r="BQ17" i="15"/>
  <c r="BM17" i="15"/>
  <c r="BN17" i="15" s="1"/>
  <c r="BX17" i="15" s="1"/>
  <c r="BT17" i="15" s="1"/>
  <c r="BO17" i="15" s="1"/>
  <c r="BP17" i="15" s="1"/>
  <c r="W8" i="12"/>
  <c r="Y8" i="12" s="1"/>
  <c r="AB6" i="12" l="1"/>
  <c r="E6" i="12" s="1"/>
  <c r="M64" i="13" s="1"/>
  <c r="AJ7" i="12"/>
  <c r="AK7" i="12" s="1"/>
  <c r="AB7" i="12" s="1"/>
  <c r="E7" i="12" s="1"/>
  <c r="M65" i="13" s="1"/>
  <c r="AE7" i="12"/>
  <c r="H7" i="12" s="1"/>
  <c r="AF7" i="12"/>
  <c r="AD7" i="12"/>
  <c r="G7" i="12" s="1"/>
  <c r="J18" i="15" s="1"/>
  <c r="BQ18" i="15" s="1"/>
  <c r="AH7" i="12"/>
  <c r="AG7" i="12"/>
  <c r="BY17" i="15"/>
  <c r="BU17" i="15" s="1"/>
  <c r="X8" i="12"/>
  <c r="O8" i="12" s="1"/>
  <c r="AC8" i="12" s="1"/>
  <c r="J7" i="12"/>
  <c r="BW17" i="15"/>
  <c r="BS17" i="15" s="1"/>
  <c r="BV17" i="15"/>
  <c r="AI8" i="12" l="1"/>
  <c r="I8" i="12" s="1"/>
  <c r="T19" i="15" s="1"/>
  <c r="AL7" i="12"/>
  <c r="L7" i="12" s="1"/>
  <c r="K7" i="12" s="1"/>
  <c r="H65" i="13" s="1"/>
  <c r="I65" i="13" s="1"/>
  <c r="F8" i="12"/>
  <c r="K66" i="13" s="1"/>
  <c r="V9" i="12"/>
  <c r="W9" i="12"/>
  <c r="X9" i="12" s="1"/>
  <c r="BR17" i="15"/>
  <c r="K12" i="7" s="1"/>
  <c r="AD8" i="12" l="1"/>
  <c r="AF8" i="12"/>
  <c r="AG8" i="12"/>
  <c r="AE8" i="12"/>
  <c r="H8" i="12" s="1"/>
  <c r="AH8" i="12"/>
  <c r="AJ8" i="12"/>
  <c r="G8" i="12"/>
  <c r="J19" i="15" s="1"/>
  <c r="BQ19" i="15" s="1"/>
  <c r="O9" i="12"/>
  <c r="AC9" i="12" s="1"/>
  <c r="V10" i="12"/>
  <c r="Y9" i="12"/>
  <c r="AL8" i="12" l="1"/>
  <c r="L8" i="12" s="1"/>
  <c r="K8" i="12" s="1"/>
  <c r="H66" i="13" s="1"/>
  <c r="I66" i="13" s="1"/>
  <c r="F9" i="12"/>
  <c r="K67" i="13" s="1"/>
  <c r="AK8" i="12"/>
  <c r="J8" i="12"/>
  <c r="W10" i="12"/>
  <c r="X10" i="12" s="1"/>
  <c r="AD9" i="12" l="1"/>
  <c r="AG9" i="12"/>
  <c r="AH9" i="12"/>
  <c r="AB8" i="12"/>
  <c r="E8" i="12" s="1"/>
  <c r="M66" i="13" s="1"/>
  <c r="AI9" i="12"/>
  <c r="AE9" i="12"/>
  <c r="H9" i="12" s="1"/>
  <c r="AJ9" i="12"/>
  <c r="AK9" i="12" s="1"/>
  <c r="AI10" i="12" s="1"/>
  <c r="I10" i="12" s="1"/>
  <c r="T21" i="15" s="1"/>
  <c r="AF9" i="12"/>
  <c r="G9" i="12"/>
  <c r="J20" i="15" s="1"/>
  <c r="BQ20" i="15" s="1"/>
  <c r="O10" i="12"/>
  <c r="AC10" i="12" s="1"/>
  <c r="V11" i="12"/>
  <c r="Y10" i="12"/>
  <c r="AB9" i="12" l="1"/>
  <c r="E9" i="12" s="1"/>
  <c r="M67" i="13" s="1"/>
  <c r="AL9" i="12"/>
  <c r="L9" i="12" s="1"/>
  <c r="K9" i="12" s="1"/>
  <c r="H67" i="13" s="1"/>
  <c r="I67" i="13" s="1"/>
  <c r="I9" i="12"/>
  <c r="T20" i="15" s="1"/>
  <c r="J9" i="12"/>
  <c r="W11" i="12"/>
  <c r="X11" i="12" s="1"/>
  <c r="AE10" i="12" l="1"/>
  <c r="H10" i="12" s="1"/>
  <c r="F10" i="12"/>
  <c r="K68" i="13" s="1"/>
  <c r="AH10" i="12"/>
  <c r="AG10" i="12"/>
  <c r="AF10" i="12"/>
  <c r="AJ10" i="12"/>
  <c r="J10" i="12" s="1"/>
  <c r="AD10" i="12"/>
  <c r="G10" i="12" s="1"/>
  <c r="J21" i="15" s="1"/>
  <c r="BQ21" i="15" s="1"/>
  <c r="Y11" i="12"/>
  <c r="O11" i="12"/>
  <c r="V12" i="12"/>
  <c r="AC11" i="12" l="1"/>
  <c r="AG11" i="12" s="1"/>
  <c r="AK10" i="12"/>
  <c r="AI11" i="12" s="1"/>
  <c r="AL10" i="12"/>
  <c r="L10" i="12" s="1"/>
  <c r="K10" i="12" s="1"/>
  <c r="H68" i="13" s="1"/>
  <c r="I68" i="13" s="1"/>
  <c r="W12" i="12"/>
  <c r="X12" i="12" s="1"/>
  <c r="AF11" i="12" l="1"/>
  <c r="AH11" i="12"/>
  <c r="AD11" i="12"/>
  <c r="G11" i="12" s="1"/>
  <c r="J22" i="15" s="1"/>
  <c r="BQ22" i="15" s="1"/>
  <c r="AE11" i="12"/>
  <c r="H11" i="12" s="1"/>
  <c r="F11" i="12"/>
  <c r="K69" i="13" s="1"/>
  <c r="AJ11" i="12"/>
  <c r="AK11" i="12" s="1"/>
  <c r="AI12" i="12" s="1"/>
  <c r="I12" i="12" s="1"/>
  <c r="T23" i="15" s="1"/>
  <c r="AB10" i="12"/>
  <c r="E10" i="12" s="1"/>
  <c r="M68" i="13" s="1"/>
  <c r="Y12" i="12"/>
  <c r="O12" i="12"/>
  <c r="V13" i="12"/>
  <c r="I11" i="12"/>
  <c r="T22" i="15" s="1"/>
  <c r="AC12" i="12" l="1"/>
  <c r="AD12" i="12" s="1"/>
  <c r="J11" i="12"/>
  <c r="AB11" i="12"/>
  <c r="E11" i="12" s="1"/>
  <c r="M69" i="13" s="1"/>
  <c r="AL11" i="12"/>
  <c r="L11" i="12" s="1"/>
  <c r="K11" i="12" s="1"/>
  <c r="H69" i="13" s="1"/>
  <c r="I69" i="13" s="1"/>
  <c r="W13" i="12"/>
  <c r="X13" i="12" s="1"/>
  <c r="AJ12" i="12" l="1"/>
  <c r="J12" i="12" s="1"/>
  <c r="AF12" i="12"/>
  <c r="F12" i="12"/>
  <c r="K70" i="13" s="1"/>
  <c r="AE12" i="12"/>
  <c r="H12" i="12" s="1"/>
  <c r="AG12" i="12"/>
  <c r="AH12" i="12"/>
  <c r="G12" i="12"/>
  <c r="J23" i="15" s="1"/>
  <c r="BQ23" i="15" s="1"/>
  <c r="Y13" i="12"/>
  <c r="V14" i="12"/>
  <c r="W14" i="12" s="1"/>
  <c r="X14" i="12" s="1"/>
  <c r="O13" i="12"/>
  <c r="AL12" i="12" l="1"/>
  <c r="L12" i="12" s="1"/>
  <c r="K12" i="12" s="1"/>
  <c r="H70" i="13" s="1"/>
  <c r="I70" i="13" s="1"/>
  <c r="AK12" i="12"/>
  <c r="AB12" i="12" s="1"/>
  <c r="E12" i="12" s="1"/>
  <c r="M70" i="13" s="1"/>
  <c r="AC13" i="12"/>
  <c r="AE13" i="12" s="1"/>
  <c r="H13" i="12" s="1"/>
  <c r="V15" i="12"/>
  <c r="O14" i="12"/>
  <c r="Y14" i="12"/>
  <c r="F13" i="12" l="1"/>
  <c r="K71" i="13" s="1"/>
  <c r="AI13" i="12"/>
  <c r="I13" i="12" s="1"/>
  <c r="T24" i="15" s="1"/>
  <c r="AJ13" i="12"/>
  <c r="AK13" i="12" s="1"/>
  <c r="AI14" i="12" s="1"/>
  <c r="I14" i="12" s="1"/>
  <c r="T25" i="15" s="1"/>
  <c r="AH13" i="12"/>
  <c r="AG13" i="12"/>
  <c r="AC14" i="12"/>
  <c r="F14" i="12" s="1"/>
  <c r="K72" i="13" s="1"/>
  <c r="AF13" i="12"/>
  <c r="AD13" i="12"/>
  <c r="G13" i="12" s="1"/>
  <c r="J24" i="15" s="1"/>
  <c r="BQ24" i="15" s="1"/>
  <c r="W15" i="12"/>
  <c r="X15" i="12" s="1"/>
  <c r="J13" i="12" l="1"/>
  <c r="AB13" i="12"/>
  <c r="E13" i="12" s="1"/>
  <c r="M71" i="13" s="1"/>
  <c r="AL13" i="12"/>
  <c r="L13" i="12" s="1"/>
  <c r="K13" i="12" s="1"/>
  <c r="H71" i="13" s="1"/>
  <c r="I71" i="13" s="1"/>
  <c r="AD14" i="12"/>
  <c r="AG14" i="12"/>
  <c r="AH14" i="12"/>
  <c r="AJ14" i="12"/>
  <c r="J14" i="12" s="1"/>
  <c r="AE14" i="12"/>
  <c r="H14" i="12" s="1"/>
  <c r="AF14" i="12"/>
  <c r="G14" i="12"/>
  <c r="J25" i="15" s="1"/>
  <c r="BQ25" i="15" s="1"/>
  <c r="AK14" i="12"/>
  <c r="AI15" i="12" s="1"/>
  <c r="I15" i="12" s="1"/>
  <c r="T26" i="15" s="1"/>
  <c r="Y15" i="12"/>
  <c r="O15" i="12"/>
  <c r="V16" i="12"/>
  <c r="AC15" i="12" l="1"/>
  <c r="AG15" i="12" s="1"/>
  <c r="AL14" i="12"/>
  <c r="L14" i="12" s="1"/>
  <c r="K14" i="12" s="1"/>
  <c r="H72" i="13" s="1"/>
  <c r="I72" i="13" s="1"/>
  <c r="AB14" i="12"/>
  <c r="E14" i="12" s="1"/>
  <c r="M72" i="13" s="1"/>
  <c r="W16" i="12"/>
  <c r="X16" i="12" s="1"/>
  <c r="AJ15" i="12" l="1"/>
  <c r="J15" i="12" s="1"/>
  <c r="AH15" i="12"/>
  <c r="AD15" i="12"/>
  <c r="F15" i="12"/>
  <c r="K73" i="13" s="1"/>
  <c r="AF15" i="12"/>
  <c r="AE15" i="12"/>
  <c r="H15" i="12" s="1"/>
  <c r="G15" i="12"/>
  <c r="J26" i="15" s="1"/>
  <c r="BQ26" i="15" s="1"/>
  <c r="Y16" i="12"/>
  <c r="V17" i="12"/>
  <c r="W17" i="12" s="1"/>
  <c r="X17" i="12" s="1"/>
  <c r="O16" i="12"/>
  <c r="AK15" i="12" l="1"/>
  <c r="AB15" i="12" s="1"/>
  <c r="E15" i="12" s="1"/>
  <c r="M73" i="13" s="1"/>
  <c r="AL15" i="12"/>
  <c r="L15" i="12" s="1"/>
  <c r="K15" i="12" s="1"/>
  <c r="H73" i="13" s="1"/>
  <c r="I73" i="13" s="1"/>
  <c r="AC16" i="12"/>
  <c r="AD16" i="12" s="1"/>
  <c r="V18" i="12"/>
  <c r="O17" i="12"/>
  <c r="Y17" i="12"/>
  <c r="AI16" i="12" l="1"/>
  <c r="I16" i="12" s="1"/>
  <c r="T27" i="15" s="1"/>
  <c r="AF16" i="12"/>
  <c r="AG16" i="12"/>
  <c r="AJ16" i="12"/>
  <c r="AK16" i="12" s="1"/>
  <c r="AI17" i="12" s="1"/>
  <c r="I17" i="12" s="1"/>
  <c r="T28" i="15" s="1"/>
  <c r="F16" i="12"/>
  <c r="K74" i="13" s="1"/>
  <c r="AH16" i="12"/>
  <c r="AE16" i="12"/>
  <c r="H16" i="12" s="1"/>
  <c r="AC17" i="12"/>
  <c r="F17" i="12" s="1"/>
  <c r="K75" i="13" s="1"/>
  <c r="G16" i="12"/>
  <c r="J27" i="15" s="1"/>
  <c r="BQ27" i="15" s="1"/>
  <c r="W18" i="12"/>
  <c r="X18" i="12" s="1"/>
  <c r="AG17" i="12" l="1"/>
  <c r="J16" i="12"/>
  <c r="AJ17" i="12"/>
  <c r="J17" i="12" s="1"/>
  <c r="AH17" i="12"/>
  <c r="AD17" i="12"/>
  <c r="G17" i="12" s="1"/>
  <c r="J28" i="15" s="1"/>
  <c r="BQ28" i="15" s="1"/>
  <c r="AB16" i="12"/>
  <c r="E16" i="12" s="1"/>
  <c r="M74" i="13" s="1"/>
  <c r="AL16" i="12"/>
  <c r="L16" i="12" s="1"/>
  <c r="K16" i="12" s="1"/>
  <c r="H74" i="13" s="1"/>
  <c r="I74" i="13" s="1"/>
  <c r="AF17" i="12"/>
  <c r="AE17" i="12"/>
  <c r="H17" i="12" s="1"/>
  <c r="O18" i="12"/>
  <c r="V19" i="12"/>
  <c r="Y18" i="12"/>
  <c r="AK17" i="12" l="1"/>
  <c r="AB17" i="12" s="1"/>
  <c r="E17" i="12" s="1"/>
  <c r="M75" i="13" s="1"/>
  <c r="AL17" i="12"/>
  <c r="L17" i="12" s="1"/>
  <c r="K17" i="12" s="1"/>
  <c r="H75" i="13" s="1"/>
  <c r="I75" i="13" s="1"/>
  <c r="AC18" i="12"/>
  <c r="AE18" i="12" s="1"/>
  <c r="H18" i="12" s="1"/>
  <c r="W19" i="12"/>
  <c r="X19" i="12" s="1"/>
  <c r="AI18" i="12" l="1"/>
  <c r="J18" i="12" s="1"/>
  <c r="AF18" i="12"/>
  <c r="AG18" i="12"/>
  <c r="AJ18" i="12"/>
  <c r="AK18" i="12" s="1"/>
  <c r="AI19" i="12" s="1"/>
  <c r="I19" i="12" s="1"/>
  <c r="T30" i="15" s="1"/>
  <c r="AH18" i="12"/>
  <c r="AD18" i="12"/>
  <c r="G18" i="12" s="1"/>
  <c r="J29" i="15" s="1"/>
  <c r="BQ29" i="15" s="1"/>
  <c r="F18" i="12"/>
  <c r="K76" i="13" s="1"/>
  <c r="Y19" i="12"/>
  <c r="O19" i="12"/>
  <c r="V20" i="12"/>
  <c r="I18" i="12" l="1"/>
  <c r="T29" i="15" s="1"/>
  <c r="AL18" i="12"/>
  <c r="L18" i="12" s="1"/>
  <c r="K18" i="12" s="1"/>
  <c r="H76" i="13" s="1"/>
  <c r="I76" i="13" s="1"/>
  <c r="AB18" i="12"/>
  <c r="E18" i="12" s="1"/>
  <c r="M76" i="13" s="1"/>
  <c r="AC19" i="12"/>
  <c r="AJ19" i="12" s="1"/>
  <c r="J19" i="12" s="1"/>
  <c r="W20" i="12"/>
  <c r="X20" i="12" s="1"/>
  <c r="F19" i="12" l="1"/>
  <c r="K77" i="13" s="1"/>
  <c r="AH19" i="12"/>
  <c r="AD19" i="12"/>
  <c r="AE19" i="12"/>
  <c r="H19" i="12" s="1"/>
  <c r="AG19" i="12"/>
  <c r="AF19" i="12"/>
  <c r="G19" i="12"/>
  <c r="J30" i="15" s="1"/>
  <c r="BQ30" i="15" s="1"/>
  <c r="AK19" i="12"/>
  <c r="Y20" i="12"/>
  <c r="O20" i="12"/>
  <c r="V21" i="12"/>
  <c r="AL19" i="12" l="1"/>
  <c r="L19" i="12" s="1"/>
  <c r="K19" i="12" s="1"/>
  <c r="H77" i="13" s="1"/>
  <c r="I77" i="13" s="1"/>
  <c r="AC20" i="12"/>
  <c r="AF20" i="12" s="1"/>
  <c r="AI20" i="12"/>
  <c r="I20" i="12" s="1"/>
  <c r="T31" i="15" s="1"/>
  <c r="AB19" i="12"/>
  <c r="E19" i="12" s="1"/>
  <c r="M77" i="13" s="1"/>
  <c r="W21" i="12"/>
  <c r="X21" i="12" s="1"/>
  <c r="AJ20" i="12" l="1"/>
  <c r="AK20" i="12" s="1"/>
  <c r="AG20" i="12"/>
  <c r="AD20" i="12"/>
  <c r="AH20" i="12"/>
  <c r="F20" i="12"/>
  <c r="K78" i="13" s="1"/>
  <c r="AE20" i="12"/>
  <c r="H20" i="12" s="1"/>
  <c r="G20" i="12"/>
  <c r="J31" i="15" s="1"/>
  <c r="BQ31" i="15" s="1"/>
  <c r="J20" i="12"/>
  <c r="Y21" i="12"/>
  <c r="O21" i="12"/>
  <c r="V22" i="12"/>
  <c r="AL20" i="12" l="1"/>
  <c r="L20" i="12" s="1"/>
  <c r="K20" i="12" s="1"/>
  <c r="H78" i="13" s="1"/>
  <c r="I78" i="13" s="1"/>
  <c r="AC21" i="12"/>
  <c r="AE21" i="12" s="1"/>
  <c r="H21" i="12" s="1"/>
  <c r="W22" i="12"/>
  <c r="X22" i="12" s="1"/>
  <c r="AI21" i="12"/>
  <c r="AB20" i="12"/>
  <c r="E20" i="12" s="1"/>
  <c r="M78" i="13" s="1"/>
  <c r="F21" i="12" l="1"/>
  <c r="K79" i="13" s="1"/>
  <c r="AF21" i="12"/>
  <c r="AG21" i="12"/>
  <c r="AJ21" i="12"/>
  <c r="AK21" i="12" s="1"/>
  <c r="AI22" i="12" s="1"/>
  <c r="I22" i="12" s="1"/>
  <c r="T33" i="15" s="1"/>
  <c r="AD21" i="12"/>
  <c r="G21" i="12" s="1"/>
  <c r="J32" i="15" s="1"/>
  <c r="BQ32" i="15" s="1"/>
  <c r="AH21" i="12"/>
  <c r="I21" i="12"/>
  <c r="T32" i="15" s="1"/>
  <c r="Y22" i="12"/>
  <c r="O22" i="12"/>
  <c r="V23" i="12"/>
  <c r="J21" i="12" l="1"/>
  <c r="AL21" i="12"/>
  <c r="L21" i="12" s="1"/>
  <c r="K21" i="12" s="1"/>
  <c r="H79" i="13" s="1"/>
  <c r="I79" i="13" s="1"/>
  <c r="AB21" i="12"/>
  <c r="E21" i="12" s="1"/>
  <c r="M79" i="13" s="1"/>
  <c r="AC22" i="12"/>
  <c r="AD22" i="12" s="1"/>
  <c r="W23" i="12"/>
  <c r="X23" i="12" s="1"/>
  <c r="AG22" i="12" l="1"/>
  <c r="AE22" i="12"/>
  <c r="H22" i="12" s="1"/>
  <c r="AH22" i="12"/>
  <c r="AJ22" i="12"/>
  <c r="J22" i="12" s="1"/>
  <c r="F22" i="12"/>
  <c r="K80" i="13" s="1"/>
  <c r="AF22" i="12"/>
  <c r="G22" i="12"/>
  <c r="J33" i="15" s="1"/>
  <c r="BQ33" i="15" s="1"/>
  <c r="Y23" i="12"/>
  <c r="O23" i="12"/>
  <c r="V24" i="12"/>
  <c r="AK22" i="12" l="1"/>
  <c r="AI23" i="12" s="1"/>
  <c r="AL22" i="12"/>
  <c r="L22" i="12" s="1"/>
  <c r="K22" i="12" s="1"/>
  <c r="H80" i="13" s="1"/>
  <c r="I80" i="13" s="1"/>
  <c r="AC23" i="12"/>
  <c r="AG23" i="12" s="1"/>
  <c r="W24" i="12"/>
  <c r="X24" i="12" s="1"/>
  <c r="AB22" i="12"/>
  <c r="E22" i="12" s="1"/>
  <c r="M80" i="13" s="1"/>
  <c r="AH23" i="12" l="1"/>
  <c r="F23" i="12"/>
  <c r="K81" i="13" s="1"/>
  <c r="AD23" i="12"/>
  <c r="AF23" i="12"/>
  <c r="AE23" i="12"/>
  <c r="H23" i="12" s="1"/>
  <c r="G23" i="12"/>
  <c r="J34" i="15" s="1"/>
  <c r="BQ34" i="15" s="1"/>
  <c r="AJ23" i="12"/>
  <c r="J23" i="12" s="1"/>
  <c r="I23" i="12"/>
  <c r="T34" i="15" s="1"/>
  <c r="Y24" i="12"/>
  <c r="O24" i="12"/>
  <c r="V25" i="12"/>
  <c r="AC24" i="12" l="1"/>
  <c r="AH24" i="12" s="1"/>
  <c r="W25" i="12"/>
  <c r="X25" i="12" s="1"/>
  <c r="AK23" i="12"/>
  <c r="AL23" i="12"/>
  <c r="L23" i="12" s="1"/>
  <c r="K23" i="12" s="1"/>
  <c r="H81" i="13" s="1"/>
  <c r="I81" i="13" s="1"/>
  <c r="F24" i="12" l="1"/>
  <c r="K82" i="13" s="1"/>
  <c r="AD24" i="12"/>
  <c r="G24" i="12" s="1"/>
  <c r="J35" i="15" s="1"/>
  <c r="BQ35" i="15" s="1"/>
  <c r="AE24" i="12"/>
  <c r="H24" i="12" s="1"/>
  <c r="AF24" i="12"/>
  <c r="AG24" i="12"/>
  <c r="Y25" i="12"/>
  <c r="AI24" i="12"/>
  <c r="AB23" i="12"/>
  <c r="E23" i="12" s="1"/>
  <c r="M81" i="13" s="1"/>
  <c r="AJ24" i="12"/>
  <c r="AK24" i="12" s="1"/>
  <c r="O25" i="12"/>
  <c r="V26" i="12"/>
  <c r="AC25" i="12" l="1"/>
  <c r="AG25" i="12" s="1"/>
  <c r="W26" i="12"/>
  <c r="X26" i="12" s="1"/>
  <c r="AB24" i="12"/>
  <c r="E24" i="12" s="1"/>
  <c r="M82" i="13" s="1"/>
  <c r="AI25" i="12"/>
  <c r="I24" i="12"/>
  <c r="T35" i="15" s="1"/>
  <c r="J24" i="12"/>
  <c r="AL24" i="12"/>
  <c r="L24" i="12" s="1"/>
  <c r="K24" i="12" s="1"/>
  <c r="H82" i="13" s="1"/>
  <c r="I82" i="13" s="1"/>
  <c r="F25" i="12" l="1"/>
  <c r="K83" i="13" s="1"/>
  <c r="AF25" i="12"/>
  <c r="AE25" i="12"/>
  <c r="H25" i="12" s="1"/>
  <c r="AJ25" i="12"/>
  <c r="AK25" i="12" s="1"/>
  <c r="AB25" i="12" s="1"/>
  <c r="E25" i="12" s="1"/>
  <c r="M83" i="13" s="1"/>
  <c r="AD25" i="12"/>
  <c r="G25" i="12" s="1"/>
  <c r="J36" i="15" s="1"/>
  <c r="BQ36" i="15" s="1"/>
  <c r="AH25" i="12"/>
  <c r="Y26" i="12"/>
  <c r="I25" i="12"/>
  <c r="T36" i="15" s="1"/>
  <c r="J25" i="12"/>
  <c r="O26" i="12"/>
  <c r="V27" i="12"/>
  <c r="AI26" i="12" l="1"/>
  <c r="I26" i="12" s="1"/>
  <c r="T37" i="15" s="1"/>
  <c r="AL25" i="12"/>
  <c r="L25" i="12" s="1"/>
  <c r="K25" i="12" s="1"/>
  <c r="H83" i="13" s="1"/>
  <c r="I83" i="13" s="1"/>
  <c r="AC26" i="12"/>
  <c r="AE26" i="12" s="1"/>
  <c r="H26" i="12" s="1"/>
  <c r="W27" i="12"/>
  <c r="X27" i="12" s="1"/>
  <c r="F26" i="12" l="1"/>
  <c r="K84" i="13" s="1"/>
  <c r="AJ26" i="12"/>
  <c r="AH26" i="12"/>
  <c r="AF26" i="12"/>
  <c r="AG26" i="12"/>
  <c r="AD26" i="12"/>
  <c r="G26" i="12"/>
  <c r="J37" i="15" s="1"/>
  <c r="BQ37" i="15" s="1"/>
  <c r="Y27" i="12"/>
  <c r="V28" i="12"/>
  <c r="O27" i="12"/>
  <c r="AK26" i="12" l="1"/>
  <c r="J26" i="12"/>
  <c r="AL26" i="12"/>
  <c r="L26" i="12" s="1"/>
  <c r="K26" i="12" s="1"/>
  <c r="H84" i="13" s="1"/>
  <c r="I84" i="13" s="1"/>
  <c r="AC27" i="12"/>
  <c r="AJ27" i="12" s="1"/>
  <c r="W28" i="12"/>
  <c r="X28" i="12" s="1"/>
  <c r="F27" i="12" l="1"/>
  <c r="K85" i="13" s="1"/>
  <c r="AI27" i="12"/>
  <c r="I27" i="12" s="1"/>
  <c r="T38" i="15" s="1"/>
  <c r="AB26" i="12"/>
  <c r="E26" i="12" s="1"/>
  <c r="M84" i="13" s="1"/>
  <c r="AF27" i="12"/>
  <c r="AD27" i="12"/>
  <c r="AH27" i="12"/>
  <c r="AE27" i="12"/>
  <c r="H27" i="12" s="1"/>
  <c r="AG27" i="12"/>
  <c r="G27" i="12"/>
  <c r="J38" i="15" s="1"/>
  <c r="BQ38" i="15" s="1"/>
  <c r="V29" i="12"/>
  <c r="O28" i="12"/>
  <c r="Y28" i="12"/>
  <c r="AK27" i="12"/>
  <c r="J27" i="12" l="1"/>
  <c r="AL27" i="12"/>
  <c r="L27" i="12" s="1"/>
  <c r="K27" i="12" s="1"/>
  <c r="H85" i="13" s="1"/>
  <c r="I85" i="13" s="1"/>
  <c r="AC28" i="12"/>
  <c r="AH28" i="12" s="1"/>
  <c r="AI28" i="12"/>
  <c r="AB27" i="12"/>
  <c r="E27" i="12" s="1"/>
  <c r="M85" i="13" s="1"/>
  <c r="W29" i="12"/>
  <c r="X29" i="12" s="1"/>
  <c r="AF28" i="12" l="1"/>
  <c r="AG28" i="12"/>
  <c r="AD28" i="12"/>
  <c r="F28" i="12"/>
  <c r="K86" i="13" s="1"/>
  <c r="AJ28" i="12"/>
  <c r="AK28" i="12" s="1"/>
  <c r="AI29" i="12" s="1"/>
  <c r="I29" i="12" s="1"/>
  <c r="T40" i="15" s="1"/>
  <c r="AE28" i="12"/>
  <c r="H28" i="12" s="1"/>
  <c r="G28" i="12"/>
  <c r="J39" i="15" s="1"/>
  <c r="BQ39" i="15" s="1"/>
  <c r="Y29" i="12"/>
  <c r="I28" i="12"/>
  <c r="T39" i="15" s="1"/>
  <c r="J28" i="12"/>
  <c r="O29" i="12"/>
  <c r="V30" i="12"/>
  <c r="AL28" i="12" l="1"/>
  <c r="L28" i="12" s="1"/>
  <c r="K28" i="12" s="1"/>
  <c r="H86" i="13" s="1"/>
  <c r="I86" i="13" s="1"/>
  <c r="AB28" i="12"/>
  <c r="E28" i="12" s="1"/>
  <c r="M86" i="13" s="1"/>
  <c r="AC29" i="12"/>
  <c r="AF29" i="12" s="1"/>
  <c r="W30" i="12"/>
  <c r="X30" i="12" s="1"/>
  <c r="F29" i="12" l="1"/>
  <c r="K87" i="13" s="1"/>
  <c r="AH29" i="12"/>
  <c r="AG29" i="12"/>
  <c r="AJ29" i="12"/>
  <c r="J29" i="12" s="1"/>
  <c r="AE29" i="12"/>
  <c r="H29" i="12" s="1"/>
  <c r="AD29" i="12"/>
  <c r="G29" i="12" s="1"/>
  <c r="J40" i="15" s="1"/>
  <c r="BQ40" i="15" s="1"/>
  <c r="Y30" i="12"/>
  <c r="V31" i="12"/>
  <c r="O30" i="12"/>
  <c r="AL29" i="12" l="1"/>
  <c r="L29" i="12" s="1"/>
  <c r="K29" i="12" s="1"/>
  <c r="H87" i="13" s="1"/>
  <c r="I87" i="13" s="1"/>
  <c r="AK29" i="12"/>
  <c r="AI30" i="12" s="1"/>
  <c r="F30" i="12"/>
  <c r="K88" i="13" s="1"/>
  <c r="AC30" i="12"/>
  <c r="W31" i="12"/>
  <c r="X31" i="12" s="1"/>
  <c r="AB29" i="12" l="1"/>
  <c r="E29" i="12" s="1"/>
  <c r="M87" i="13" s="1"/>
  <c r="AJ30" i="12"/>
  <c r="AK30" i="12" s="1"/>
  <c r="AB30" i="12" s="1"/>
  <c r="E30" i="12" s="1"/>
  <c r="M88" i="13" s="1"/>
  <c r="AE30" i="12"/>
  <c r="H30" i="12" s="1"/>
  <c r="AD30" i="12"/>
  <c r="AF30" i="12"/>
  <c r="AG30" i="12"/>
  <c r="AH30" i="12"/>
  <c r="G30" i="12"/>
  <c r="J41" i="15" s="1"/>
  <c r="BQ41" i="15" s="1"/>
  <c r="I30" i="12"/>
  <c r="T41" i="15" s="1"/>
  <c r="J30" i="12"/>
  <c r="Y31" i="12"/>
  <c r="O31" i="12"/>
  <c r="V32" i="12"/>
  <c r="W32" i="12" s="1"/>
  <c r="X32" i="12" s="1"/>
  <c r="O32" i="12" s="1"/>
  <c r="AC32" i="12" s="1"/>
  <c r="AI31" i="12" l="1"/>
  <c r="AL30" i="12"/>
  <c r="L30" i="12" s="1"/>
  <c r="K30" i="12" s="1"/>
  <c r="H88" i="13" s="1"/>
  <c r="I88" i="13" s="1"/>
  <c r="AC31" i="12"/>
  <c r="F31" i="12" s="1"/>
  <c r="K89" i="13" s="1"/>
  <c r="F32" i="12"/>
  <c r="K90" i="13" s="1"/>
  <c r="AH32" i="12"/>
  <c r="AF32" i="12"/>
  <c r="AD32" i="12"/>
  <c r="AG32" i="12"/>
  <c r="AE32" i="12"/>
  <c r="H32" i="12" s="1"/>
  <c r="V33" i="12"/>
  <c r="W33" i="12"/>
  <c r="X33" i="12" s="1"/>
  <c r="Y32" i="12"/>
  <c r="I31" i="12"/>
  <c r="T42" i="15" s="1"/>
  <c r="AG31" i="12" l="1"/>
  <c r="AH31" i="12"/>
  <c r="AF31" i="12"/>
  <c r="AD31" i="12"/>
  <c r="AE31" i="12"/>
  <c r="H31" i="12" s="1"/>
  <c r="AJ31" i="12"/>
  <c r="AK31" i="12" s="1"/>
  <c r="AI32" i="12" s="1"/>
  <c r="I32" i="12" s="1"/>
  <c r="T43" i="15" s="1"/>
  <c r="G31" i="12"/>
  <c r="J42" i="15" s="1"/>
  <c r="BQ42" i="15" s="1"/>
  <c r="G32" i="12"/>
  <c r="J43" i="15" s="1"/>
  <c r="BQ43" i="15" s="1"/>
  <c r="AJ32" i="12"/>
  <c r="AK32" i="12" s="1"/>
  <c r="AI33" i="12" s="1"/>
  <c r="I33" i="12" s="1"/>
  <c r="T44" i="15" s="1"/>
  <c r="J31" i="12"/>
  <c r="V34" i="12"/>
  <c r="O33" i="12"/>
  <c r="Y33" i="12"/>
  <c r="AB31" i="12" l="1"/>
  <c r="E31" i="12" s="1"/>
  <c r="M89" i="13" s="1"/>
  <c r="AL31" i="12"/>
  <c r="L31" i="12" s="1"/>
  <c r="K31" i="12" s="1"/>
  <c r="H89" i="13" s="1"/>
  <c r="I89" i="13" s="1"/>
  <c r="AC33" i="12"/>
  <c r="F33" i="12" s="1"/>
  <c r="K91" i="13" s="1"/>
  <c r="J32" i="12"/>
  <c r="AL32" i="12"/>
  <c r="L32" i="12" s="1"/>
  <c r="K32" i="12" s="1"/>
  <c r="H90" i="13" s="1"/>
  <c r="I90" i="13" s="1"/>
  <c r="AB32" i="12"/>
  <c r="E32" i="12" s="1"/>
  <c r="M90" i="13" s="1"/>
  <c r="W34" i="12"/>
  <c r="X34" i="12" s="1"/>
  <c r="W35" i="12" s="1"/>
  <c r="X35" i="12" s="1"/>
  <c r="AH33" i="12" l="1"/>
  <c r="AE33" i="12"/>
  <c r="H33" i="12" s="1"/>
  <c r="AF33" i="12"/>
  <c r="AG33" i="12"/>
  <c r="AJ33" i="12"/>
  <c r="J33" i="12" s="1"/>
  <c r="AD33" i="12"/>
  <c r="G33" i="12"/>
  <c r="J44" i="15" s="1"/>
  <c r="BQ44" i="15" s="1"/>
  <c r="V35" i="12"/>
  <c r="Y35" i="12" s="1"/>
  <c r="O35" i="12"/>
  <c r="AC35" i="12" s="1"/>
  <c r="W36" i="12"/>
  <c r="X36" i="12" s="1"/>
  <c r="W37" i="12" s="1"/>
  <c r="X37" i="12" s="1"/>
  <c r="V36" i="12"/>
  <c r="O34" i="12"/>
  <c r="AC34" i="12" s="1"/>
  <c r="Y34" i="12"/>
  <c r="AL33" i="12" l="1"/>
  <c r="L33" i="12" s="1"/>
  <c r="K33" i="12" s="1"/>
  <c r="H91" i="13" s="1"/>
  <c r="I91" i="13" s="1"/>
  <c r="AK33" i="12"/>
  <c r="AI34" i="12" s="1"/>
  <c r="AD35" i="12"/>
  <c r="Y36" i="12"/>
  <c r="V37" i="12"/>
  <c r="Y37" i="12" s="1"/>
  <c r="O36" i="12"/>
  <c r="AC36" i="12" s="1"/>
  <c r="I34" i="12"/>
  <c r="T45" i="15" s="1"/>
  <c r="W38" i="12"/>
  <c r="X38" i="12" s="1"/>
  <c r="O37" i="12"/>
  <c r="V38" i="12"/>
  <c r="AB33" i="12" l="1"/>
  <c r="E33" i="12" s="1"/>
  <c r="M91" i="13" s="1"/>
  <c r="AC37" i="12"/>
  <c r="F37" i="12" s="1"/>
  <c r="K95" i="13" s="1"/>
  <c r="AE35" i="12"/>
  <c r="H35" i="12" s="1"/>
  <c r="F35" i="12"/>
  <c r="K93" i="13" s="1"/>
  <c r="AD34" i="12"/>
  <c r="G34" i="12" s="1"/>
  <c r="J45" i="15" s="1"/>
  <c r="BQ45" i="15" s="1"/>
  <c r="F34" i="12"/>
  <c r="K92" i="13" s="1"/>
  <c r="AH35" i="12"/>
  <c r="AG35" i="12"/>
  <c r="AH34" i="12"/>
  <c r="AE34" i="12"/>
  <c r="H34" i="12" s="1"/>
  <c r="AF34" i="12"/>
  <c r="AG34" i="12"/>
  <c r="AF35" i="12"/>
  <c r="AJ34" i="12"/>
  <c r="AK34" i="12" s="1"/>
  <c r="AB34" i="12" s="1"/>
  <c r="E34" i="12" s="1"/>
  <c r="M92" i="13" s="1"/>
  <c r="G35" i="12"/>
  <c r="J46" i="15" s="1"/>
  <c r="BQ46" i="15" s="1"/>
  <c r="W39" i="12"/>
  <c r="X39" i="12" s="1"/>
  <c r="V39" i="12"/>
  <c r="O38" i="12"/>
  <c r="Y38" i="12"/>
  <c r="AG37" i="12"/>
  <c r="AD37" i="12" l="1"/>
  <c r="G37" i="12" s="1"/>
  <c r="J48" i="15" s="1"/>
  <c r="BQ48" i="15" s="1"/>
  <c r="AE37" i="12"/>
  <c r="H37" i="12" s="1"/>
  <c r="AF37" i="12"/>
  <c r="AH37" i="12"/>
  <c r="AC38" i="12"/>
  <c r="AD38" i="12" s="1"/>
  <c r="AE36" i="12"/>
  <c r="H36" i="12" s="1"/>
  <c r="F36" i="12"/>
  <c r="K94" i="13" s="1"/>
  <c r="AL34" i="12"/>
  <c r="L34" i="12" s="1"/>
  <c r="K34" i="12" s="1"/>
  <c r="H92" i="13" s="1"/>
  <c r="I92" i="13" s="1"/>
  <c r="AI35" i="12"/>
  <c r="AJ35" i="12" s="1"/>
  <c r="AK35" i="12" s="1"/>
  <c r="AI36" i="12" s="1"/>
  <c r="AH36" i="12"/>
  <c r="AF36" i="12"/>
  <c r="AG36" i="12"/>
  <c r="J34" i="12"/>
  <c r="AD36" i="12"/>
  <c r="G36" i="12" s="1"/>
  <c r="J47" i="15" s="1"/>
  <c r="BQ47" i="15" s="1"/>
  <c r="W40" i="12"/>
  <c r="X40" i="12" s="1"/>
  <c r="O39" i="12"/>
  <c r="V40" i="12"/>
  <c r="Y39" i="12"/>
  <c r="F38" i="12" l="1"/>
  <c r="K96" i="13" s="1"/>
  <c r="I35" i="12"/>
  <c r="T46" i="15" s="1"/>
  <c r="AE38" i="12"/>
  <c r="H38" i="12" s="1"/>
  <c r="AF38" i="12"/>
  <c r="AG38" i="12"/>
  <c r="AH38" i="12"/>
  <c r="AC39" i="12"/>
  <c r="AG39" i="12" s="1"/>
  <c r="J35" i="12"/>
  <c r="AB35" i="12"/>
  <c r="E35" i="12" s="1"/>
  <c r="M93" i="13" s="1"/>
  <c r="AJ36" i="12"/>
  <c r="AK36" i="12" s="1"/>
  <c r="AB36" i="12" s="1"/>
  <c r="E36" i="12" s="1"/>
  <c r="M94" i="13" s="1"/>
  <c r="AL35" i="12"/>
  <c r="L35" i="12" s="1"/>
  <c r="K35" i="12" s="1"/>
  <c r="H93" i="13" s="1"/>
  <c r="I93" i="13" s="1"/>
  <c r="G38" i="12"/>
  <c r="J49" i="15" s="1"/>
  <c r="BQ49" i="15" s="1"/>
  <c r="I36" i="12"/>
  <c r="T47" i="15" s="1"/>
  <c r="W41" i="12"/>
  <c r="X41" i="12" s="1"/>
  <c r="V41" i="12"/>
  <c r="O40" i="12"/>
  <c r="Y40" i="12"/>
  <c r="AE39" i="12" l="1"/>
  <c r="H39" i="12" s="1"/>
  <c r="F39" i="12"/>
  <c r="K97" i="13" s="1"/>
  <c r="AH39" i="12"/>
  <c r="AD39" i="12"/>
  <c r="G39" i="12" s="1"/>
  <c r="J50" i="15" s="1"/>
  <c r="BQ50" i="15" s="1"/>
  <c r="AF39" i="12"/>
  <c r="AC40" i="12"/>
  <c r="F40" i="12" s="1"/>
  <c r="K98" i="13" s="1"/>
  <c r="J36" i="12"/>
  <c r="AJ37" i="12"/>
  <c r="AK37" i="12" s="1"/>
  <c r="AI38" i="12" s="1"/>
  <c r="AL36" i="12"/>
  <c r="L36" i="12" s="1"/>
  <c r="K36" i="12" s="1"/>
  <c r="H94" i="13" s="1"/>
  <c r="I94" i="13" s="1"/>
  <c r="AI37" i="12"/>
  <c r="I37" i="12" s="1"/>
  <c r="T48" i="15" s="1"/>
  <c r="W42" i="12"/>
  <c r="X42" i="12" s="1"/>
  <c r="O41" i="12"/>
  <c r="V42" i="12"/>
  <c r="Y41" i="12"/>
  <c r="AE40" i="12" l="1"/>
  <c r="H40" i="12" s="1"/>
  <c r="AG40" i="12"/>
  <c r="AF40" i="12"/>
  <c r="AD40" i="12"/>
  <c r="AH40" i="12"/>
  <c r="AC41" i="12"/>
  <c r="F41" i="12" s="1"/>
  <c r="K99" i="13" s="1"/>
  <c r="AJ38" i="12"/>
  <c r="AK38" i="12" s="1"/>
  <c r="AB38" i="12" s="1"/>
  <c r="E38" i="12" s="1"/>
  <c r="M96" i="13" s="1"/>
  <c r="AB37" i="12"/>
  <c r="E37" i="12" s="1"/>
  <c r="M95" i="13" s="1"/>
  <c r="AL37" i="12"/>
  <c r="L37" i="12" s="1"/>
  <c r="K37" i="12" s="1"/>
  <c r="H95" i="13" s="1"/>
  <c r="I95" i="13" s="1"/>
  <c r="J37" i="12"/>
  <c r="G40" i="12"/>
  <c r="J51" i="15" s="1"/>
  <c r="BQ51" i="15" s="1"/>
  <c r="I38" i="12"/>
  <c r="T49" i="15" s="1"/>
  <c r="W43" i="12"/>
  <c r="X43" i="12" s="1"/>
  <c r="O42" i="12"/>
  <c r="V43" i="12"/>
  <c r="Y42" i="12"/>
  <c r="J38" i="12" l="1"/>
  <c r="AD41" i="12"/>
  <c r="G41" i="12" s="1"/>
  <c r="J52" i="15" s="1"/>
  <c r="BQ52" i="15" s="1"/>
  <c r="AH41" i="12"/>
  <c r="AG41" i="12"/>
  <c r="AE41" i="12"/>
  <c r="H41" i="12" s="1"/>
  <c r="AF41" i="12"/>
  <c r="AC42" i="12"/>
  <c r="F42" i="12" s="1"/>
  <c r="K100" i="13" s="1"/>
  <c r="AL38" i="12"/>
  <c r="L38" i="12" s="1"/>
  <c r="K38" i="12" s="1"/>
  <c r="H96" i="13" s="1"/>
  <c r="I96" i="13" s="1"/>
  <c r="AI39" i="12"/>
  <c r="I39" i="12" s="1"/>
  <c r="T50" i="15" s="1"/>
  <c r="AJ39" i="12"/>
  <c r="W44" i="12"/>
  <c r="X44" i="12" s="1"/>
  <c r="O43" i="12"/>
  <c r="V44" i="12"/>
  <c r="Y43" i="12"/>
  <c r="AE42" i="12" l="1"/>
  <c r="H42" i="12" s="1"/>
  <c r="AD42" i="12"/>
  <c r="AH42" i="12"/>
  <c r="AF42" i="12"/>
  <c r="AG42" i="12"/>
  <c r="AC43" i="12"/>
  <c r="AG43" i="12" s="1"/>
  <c r="AL39" i="12"/>
  <c r="L39" i="12" s="1"/>
  <c r="K39" i="12" s="1"/>
  <c r="H97" i="13" s="1"/>
  <c r="I97" i="13" s="1"/>
  <c r="J39" i="12"/>
  <c r="AK39" i="12"/>
  <c r="AJ40" i="12" s="1"/>
  <c r="AK40" i="12" s="1"/>
  <c r="G42" i="12"/>
  <c r="J53" i="15" s="1"/>
  <c r="BQ53" i="15" s="1"/>
  <c r="Y44" i="12"/>
  <c r="W45" i="12"/>
  <c r="X45" i="12" s="1"/>
  <c r="O44" i="12"/>
  <c r="V45" i="12"/>
  <c r="AF43" i="12" l="1"/>
  <c r="F43" i="12"/>
  <c r="K101" i="13" s="1"/>
  <c r="AE43" i="12"/>
  <c r="H43" i="12" s="1"/>
  <c r="AH43" i="12"/>
  <c r="AD43" i="12"/>
  <c r="G43" i="12" s="1"/>
  <c r="J54" i="15" s="1"/>
  <c r="BQ54" i="15" s="1"/>
  <c r="AC44" i="12"/>
  <c r="AG44" i="12" s="1"/>
  <c r="AB39" i="12"/>
  <c r="E39" i="12" s="1"/>
  <c r="M97" i="13" s="1"/>
  <c r="AI40" i="12"/>
  <c r="I40" i="12" s="1"/>
  <c r="T51" i="15" s="1"/>
  <c r="AI41" i="12"/>
  <c r="AB40" i="12"/>
  <c r="E40" i="12" s="1"/>
  <c r="M98" i="13" s="1"/>
  <c r="AJ41" i="12"/>
  <c r="AK41" i="12" s="1"/>
  <c r="Y45" i="12"/>
  <c r="W46" i="12"/>
  <c r="X46" i="12" s="1"/>
  <c r="V46" i="12"/>
  <c r="O45" i="12"/>
  <c r="AF44" i="12"/>
  <c r="AH44" i="12" l="1"/>
  <c r="F44" i="12"/>
  <c r="K102" i="13" s="1"/>
  <c r="AD44" i="12"/>
  <c r="G44" i="12" s="1"/>
  <c r="J55" i="15" s="1"/>
  <c r="BQ55" i="15" s="1"/>
  <c r="AE44" i="12"/>
  <c r="H44" i="12" s="1"/>
  <c r="J40" i="12"/>
  <c r="AL40" i="12"/>
  <c r="L40" i="12" s="1"/>
  <c r="K40" i="12" s="1"/>
  <c r="H98" i="13" s="1"/>
  <c r="I98" i="13" s="1"/>
  <c r="AC45" i="12"/>
  <c r="AD45" i="12" s="1"/>
  <c r="W47" i="12"/>
  <c r="X47" i="12" s="1"/>
  <c r="V47" i="12"/>
  <c r="O46" i="12"/>
  <c r="AI42" i="12"/>
  <c r="AB41" i="12"/>
  <c r="E41" i="12" s="1"/>
  <c r="M99" i="13" s="1"/>
  <c r="AJ42" i="12"/>
  <c r="AK42" i="12" s="1"/>
  <c r="Y46" i="12"/>
  <c r="I41" i="12"/>
  <c r="T52" i="15" s="1"/>
  <c r="J41" i="12"/>
  <c r="AL41" i="12"/>
  <c r="L41" i="12" s="1"/>
  <c r="K41" i="12" s="1"/>
  <c r="H99" i="13" s="1"/>
  <c r="I99" i="13" s="1"/>
  <c r="AH45" i="12" l="1"/>
  <c r="AE45" i="12"/>
  <c r="H45" i="12" s="1"/>
  <c r="F45" i="12"/>
  <c r="K103" i="13" s="1"/>
  <c r="AF45" i="12"/>
  <c r="AG45" i="12"/>
  <c r="AC46" i="12"/>
  <c r="AG46" i="12" s="1"/>
  <c r="G45" i="12"/>
  <c r="J56" i="15" s="1"/>
  <c r="BQ56" i="15" s="1"/>
  <c r="Y47" i="12"/>
  <c r="W48" i="12"/>
  <c r="X48" i="12" s="1"/>
  <c r="O47" i="12"/>
  <c r="V48" i="12"/>
  <c r="J42" i="12"/>
  <c r="I42" i="12"/>
  <c r="T53" i="15" s="1"/>
  <c r="AL42" i="12"/>
  <c r="L42" i="12" s="1"/>
  <c r="K42" i="12" s="1"/>
  <c r="H100" i="13" s="1"/>
  <c r="I100" i="13" s="1"/>
  <c r="AI43" i="12"/>
  <c r="AB42" i="12"/>
  <c r="E42" i="12" s="1"/>
  <c r="M100" i="13" s="1"/>
  <c r="AH46" i="12" l="1"/>
  <c r="AF46" i="12"/>
  <c r="F46" i="12"/>
  <c r="K104" i="13" s="1"/>
  <c r="AD46" i="12"/>
  <c r="G46" i="12" s="1"/>
  <c r="J57" i="15" s="1"/>
  <c r="BQ57" i="15" s="1"/>
  <c r="AE46" i="12"/>
  <c r="H46" i="12" s="1"/>
  <c r="AC47" i="12"/>
  <c r="F47" i="12" s="1"/>
  <c r="K105" i="13" s="1"/>
  <c r="Y48" i="12"/>
  <c r="I43" i="12"/>
  <c r="T54" i="15" s="1"/>
  <c r="W49" i="12"/>
  <c r="X49" i="12" s="1"/>
  <c r="V49" i="12"/>
  <c r="O48" i="12"/>
  <c r="AJ43" i="12"/>
  <c r="AK43" i="12" s="1"/>
  <c r="AE47" i="12" l="1"/>
  <c r="H47" i="12" s="1"/>
  <c r="AC48" i="12"/>
  <c r="F48" i="12" s="1"/>
  <c r="K106" i="13" s="1"/>
  <c r="AD47" i="12"/>
  <c r="G47" i="12" s="1"/>
  <c r="J58" i="15" s="1"/>
  <c r="BQ58" i="15" s="1"/>
  <c r="AH47" i="12"/>
  <c r="AG47" i="12"/>
  <c r="AF47" i="12"/>
  <c r="J43" i="12"/>
  <c r="Y49" i="12"/>
  <c r="W50" i="12"/>
  <c r="X50" i="12" s="1"/>
  <c r="O49" i="12"/>
  <c r="V50" i="12"/>
  <c r="AI44" i="12"/>
  <c r="AB43" i="12"/>
  <c r="E43" i="12" s="1"/>
  <c r="M101" i="13" s="1"/>
  <c r="AJ44" i="12"/>
  <c r="AK44" i="12" s="1"/>
  <c r="AL43" i="12"/>
  <c r="L43" i="12" s="1"/>
  <c r="K43" i="12" s="1"/>
  <c r="H101" i="13" s="1"/>
  <c r="I101" i="13" s="1"/>
  <c r="AG48" i="12" l="1"/>
  <c r="AD48" i="12"/>
  <c r="G48" i="12" s="1"/>
  <c r="J59" i="15" s="1"/>
  <c r="BQ59" i="15" s="1"/>
  <c r="AE48" i="12"/>
  <c r="H48" i="12" s="1"/>
  <c r="AF48" i="12"/>
  <c r="AH48" i="12"/>
  <c r="AC49" i="12"/>
  <c r="AE49" i="12" s="1"/>
  <c r="H49" i="12" s="1"/>
  <c r="W51" i="12"/>
  <c r="X51" i="12" s="1"/>
  <c r="V51" i="12"/>
  <c r="O50" i="12"/>
  <c r="AI45" i="12"/>
  <c r="AB44" i="12"/>
  <c r="E44" i="12" s="1"/>
  <c r="M102" i="13" s="1"/>
  <c r="AJ45" i="12"/>
  <c r="AK45" i="12" s="1"/>
  <c r="J44" i="12"/>
  <c r="I44" i="12"/>
  <c r="T55" i="15" s="1"/>
  <c r="AL44" i="12"/>
  <c r="L44" i="12" s="1"/>
  <c r="K44" i="12" s="1"/>
  <c r="H102" i="13" s="1"/>
  <c r="I102" i="13" s="1"/>
  <c r="Y50" i="12"/>
  <c r="AG49" i="12" l="1"/>
  <c r="AF49" i="12"/>
  <c r="AH49" i="12"/>
  <c r="F49" i="12"/>
  <c r="K107" i="13" s="1"/>
  <c r="AD49" i="12"/>
  <c r="AC50" i="12"/>
  <c r="F50" i="12" s="1"/>
  <c r="K108" i="13" s="1"/>
  <c r="G49" i="12"/>
  <c r="J60" i="15" s="1"/>
  <c r="BQ60" i="15" s="1"/>
  <c r="W52" i="12"/>
  <c r="X52" i="12" s="1"/>
  <c r="O51" i="12"/>
  <c r="V52" i="12"/>
  <c r="AI46" i="12"/>
  <c r="AB45" i="12"/>
  <c r="E45" i="12" s="1"/>
  <c r="M103" i="13" s="1"/>
  <c r="I45" i="12"/>
  <c r="T56" i="15" s="1"/>
  <c r="J45" i="12"/>
  <c r="AL45" i="12"/>
  <c r="L45" i="12" s="1"/>
  <c r="K45" i="12" s="1"/>
  <c r="H103" i="13" s="1"/>
  <c r="I103" i="13" s="1"/>
  <c r="Y51" i="12"/>
  <c r="AD50" i="12" l="1"/>
  <c r="AG50" i="12"/>
  <c r="AH50" i="12"/>
  <c r="AF50" i="12"/>
  <c r="AE50" i="12"/>
  <c r="H50" i="12" s="1"/>
  <c r="AC51" i="12"/>
  <c r="AG51" i="12" s="1"/>
  <c r="G50" i="12"/>
  <c r="J61" i="15" s="1"/>
  <c r="BQ61" i="15" s="1"/>
  <c r="Y52" i="12"/>
  <c r="AJ46" i="12"/>
  <c r="AK46" i="12" s="1"/>
  <c r="I46" i="12"/>
  <c r="T57" i="15" s="1"/>
  <c r="W53" i="12"/>
  <c r="X53" i="12" s="1"/>
  <c r="V53" i="12"/>
  <c r="O52" i="12"/>
  <c r="F51" i="12" l="1"/>
  <c r="K109" i="13" s="1"/>
  <c r="AH51" i="12"/>
  <c r="AF51" i="12"/>
  <c r="AE51" i="12"/>
  <c r="H51" i="12" s="1"/>
  <c r="AD51" i="12"/>
  <c r="G51" i="12" s="1"/>
  <c r="J62" i="15" s="1"/>
  <c r="BQ62" i="15" s="1"/>
  <c r="AC52" i="12"/>
  <c r="AD52" i="12" s="1"/>
  <c r="Y53" i="12"/>
  <c r="J46" i="12"/>
  <c r="AL46" i="12"/>
  <c r="L46" i="12" s="1"/>
  <c r="K46" i="12" s="1"/>
  <c r="H104" i="13" s="1"/>
  <c r="I104" i="13" s="1"/>
  <c r="W54" i="12"/>
  <c r="X54" i="12" s="1"/>
  <c r="O53" i="12"/>
  <c r="V54" i="12"/>
  <c r="AI47" i="12"/>
  <c r="AJ47" i="12" s="1"/>
  <c r="AK47" i="12" s="1"/>
  <c r="AB46" i="12"/>
  <c r="E46" i="12" s="1"/>
  <c r="M104" i="13" s="1"/>
  <c r="AF52" i="12" l="1"/>
  <c r="AH52" i="12"/>
  <c r="AG52" i="12"/>
  <c r="F52" i="12"/>
  <c r="K110" i="13" s="1"/>
  <c r="AE52" i="12"/>
  <c r="H52" i="12" s="1"/>
  <c r="AC53" i="12"/>
  <c r="AE53" i="12" s="1"/>
  <c r="H53" i="12" s="1"/>
  <c r="G52" i="12"/>
  <c r="J63" i="15" s="1"/>
  <c r="BQ63" i="15" s="1"/>
  <c r="W55" i="12"/>
  <c r="X55" i="12" s="1"/>
  <c r="V55" i="12"/>
  <c r="O54" i="12"/>
  <c r="AI48" i="12"/>
  <c r="AB47" i="12"/>
  <c r="E47" i="12" s="1"/>
  <c r="M105" i="13" s="1"/>
  <c r="AJ48" i="12"/>
  <c r="AK48" i="12" s="1"/>
  <c r="J47" i="12"/>
  <c r="I47" i="12"/>
  <c r="T58" i="15" s="1"/>
  <c r="AL47" i="12"/>
  <c r="L47" i="12" s="1"/>
  <c r="K47" i="12" s="1"/>
  <c r="H105" i="13" s="1"/>
  <c r="I105" i="13" s="1"/>
  <c r="Y54" i="12"/>
  <c r="AD53" i="12" l="1"/>
  <c r="AH53" i="12"/>
  <c r="AF53" i="12"/>
  <c r="AG53" i="12"/>
  <c r="F53" i="12"/>
  <c r="K111" i="13" s="1"/>
  <c r="AC54" i="12"/>
  <c r="AH54" i="12" s="1"/>
  <c r="G53" i="12"/>
  <c r="J64" i="15" s="1"/>
  <c r="BQ64" i="15" s="1"/>
  <c r="Y55" i="12"/>
  <c r="AB48" i="12"/>
  <c r="E48" i="12" s="1"/>
  <c r="M106" i="13" s="1"/>
  <c r="AI49" i="12"/>
  <c r="AJ49" i="12"/>
  <c r="AK49" i="12" s="1"/>
  <c r="I48" i="12"/>
  <c r="T59" i="15" s="1"/>
  <c r="J48" i="12"/>
  <c r="AL48" i="12"/>
  <c r="L48" i="12" s="1"/>
  <c r="K48" i="12" s="1"/>
  <c r="H106" i="13" s="1"/>
  <c r="I106" i="13" s="1"/>
  <c r="W56" i="12"/>
  <c r="X56" i="12" s="1"/>
  <c r="V56" i="12"/>
  <c r="O55" i="12"/>
  <c r="AF54" i="12" l="1"/>
  <c r="AE54" i="12"/>
  <c r="H54" i="12" s="1"/>
  <c r="F54" i="12"/>
  <c r="K112" i="13" s="1"/>
  <c r="AG54" i="12"/>
  <c r="AD54" i="12"/>
  <c r="G54" i="12" s="1"/>
  <c r="J65" i="15" s="1"/>
  <c r="BQ65" i="15" s="1"/>
  <c r="AC55" i="12"/>
  <c r="AH55" i="12" s="1"/>
  <c r="Y56" i="12"/>
  <c r="W57" i="12"/>
  <c r="X57" i="12" s="1"/>
  <c r="V57" i="12"/>
  <c r="O56" i="12"/>
  <c r="AI50" i="12"/>
  <c r="AJ50" i="12" s="1"/>
  <c r="AK50" i="12" s="1"/>
  <c r="AB49" i="12"/>
  <c r="E49" i="12" s="1"/>
  <c r="M107" i="13" s="1"/>
  <c r="J49" i="12"/>
  <c r="AL49" i="12"/>
  <c r="L49" i="12" s="1"/>
  <c r="K49" i="12" s="1"/>
  <c r="H107" i="13" s="1"/>
  <c r="I107" i="13" s="1"/>
  <c r="I49" i="12"/>
  <c r="T60" i="15" s="1"/>
  <c r="AD55" i="12" l="1"/>
  <c r="G55" i="12" s="1"/>
  <c r="J66" i="15" s="1"/>
  <c r="BQ66" i="15" s="1"/>
  <c r="AF55" i="12"/>
  <c r="AG55" i="12"/>
  <c r="F55" i="12"/>
  <c r="K113" i="13" s="1"/>
  <c r="AE55" i="12"/>
  <c r="H55" i="12" s="1"/>
  <c r="AC56" i="12"/>
  <c r="AE56" i="12" s="1"/>
  <c r="H56" i="12" s="1"/>
  <c r="Y57" i="12"/>
  <c r="I50" i="12"/>
  <c r="T61" i="15" s="1"/>
  <c r="AL50" i="12"/>
  <c r="L50" i="12" s="1"/>
  <c r="K50" i="12" s="1"/>
  <c r="H108" i="13" s="1"/>
  <c r="I108" i="13" s="1"/>
  <c r="J50" i="12"/>
  <c r="W58" i="12"/>
  <c r="X58" i="12" s="1"/>
  <c r="O57" i="12"/>
  <c r="V58" i="12"/>
  <c r="AI51" i="12"/>
  <c r="AJ51" i="12" s="1"/>
  <c r="AK51" i="12" s="1"/>
  <c r="AB50" i="12"/>
  <c r="E50" i="12" s="1"/>
  <c r="M108" i="13" s="1"/>
  <c r="F56" i="12" l="1"/>
  <c r="K114" i="13" s="1"/>
  <c r="AD56" i="12"/>
  <c r="G56" i="12" s="1"/>
  <c r="J67" i="15" s="1"/>
  <c r="BQ67" i="15" s="1"/>
  <c r="AC57" i="12"/>
  <c r="AF57" i="12" s="1"/>
  <c r="AH56" i="12"/>
  <c r="AG56" i="12"/>
  <c r="AF56" i="12"/>
  <c r="AB51" i="12"/>
  <c r="E51" i="12" s="1"/>
  <c r="M109" i="13" s="1"/>
  <c r="AI52" i="12"/>
  <c r="AJ52" i="12" s="1"/>
  <c r="AK52" i="12" s="1"/>
  <c r="W59" i="12"/>
  <c r="X59" i="12" s="1"/>
  <c r="V59" i="12"/>
  <c r="O58" i="12"/>
  <c r="J51" i="12"/>
  <c r="AL51" i="12"/>
  <c r="L51" i="12" s="1"/>
  <c r="K51" i="12" s="1"/>
  <c r="H109" i="13" s="1"/>
  <c r="I109" i="13" s="1"/>
  <c r="I51" i="12"/>
  <c r="T62" i="15" s="1"/>
  <c r="Y58" i="12"/>
  <c r="AE57" i="12" l="1"/>
  <c r="H57" i="12" s="1"/>
  <c r="F57" i="12"/>
  <c r="K115" i="13" s="1"/>
  <c r="AD57" i="12"/>
  <c r="G57" i="12" s="1"/>
  <c r="J68" i="15" s="1"/>
  <c r="BQ68" i="15" s="1"/>
  <c r="AC58" i="12"/>
  <c r="AD58" i="12" s="1"/>
  <c r="AH57" i="12"/>
  <c r="AG57" i="12"/>
  <c r="Y59" i="12"/>
  <c r="W60" i="12"/>
  <c r="X60" i="12" s="1"/>
  <c r="V60" i="12"/>
  <c r="O59" i="12"/>
  <c r="J52" i="12"/>
  <c r="AL52" i="12"/>
  <c r="L52" i="12" s="1"/>
  <c r="K52" i="12" s="1"/>
  <c r="H110" i="13" s="1"/>
  <c r="I110" i="13" s="1"/>
  <c r="I52" i="12"/>
  <c r="T63" i="15" s="1"/>
  <c r="AB52" i="12"/>
  <c r="E52" i="12" s="1"/>
  <c r="M110" i="13" s="1"/>
  <c r="AJ53" i="12"/>
  <c r="AK53" i="12" s="1"/>
  <c r="AI53" i="12"/>
  <c r="AE58" i="12" l="1"/>
  <c r="H58" i="12" s="1"/>
  <c r="AG58" i="12"/>
  <c r="AF58" i="12"/>
  <c r="AH58" i="12"/>
  <c r="F58" i="12"/>
  <c r="K116" i="13" s="1"/>
  <c r="AC59" i="12"/>
  <c r="AE59" i="12" s="1"/>
  <c r="H59" i="12" s="1"/>
  <c r="G58" i="12"/>
  <c r="J69" i="15" s="1"/>
  <c r="BQ69" i="15" s="1"/>
  <c r="W61" i="12"/>
  <c r="X61" i="12" s="1"/>
  <c r="V61" i="12"/>
  <c r="O60" i="12"/>
  <c r="J53" i="12"/>
  <c r="I53" i="12"/>
  <c r="T64" i="15" s="1"/>
  <c r="AL53" i="12"/>
  <c r="L53" i="12" s="1"/>
  <c r="K53" i="12" s="1"/>
  <c r="H111" i="13" s="1"/>
  <c r="I111" i="13" s="1"/>
  <c r="AJ54" i="12"/>
  <c r="AK54" i="12" s="1"/>
  <c r="AB53" i="12"/>
  <c r="E53" i="12" s="1"/>
  <c r="M111" i="13" s="1"/>
  <c r="AI54" i="12"/>
  <c r="Y60" i="12"/>
  <c r="AD59" i="12" l="1"/>
  <c r="G59" i="12" s="1"/>
  <c r="J70" i="15" s="1"/>
  <c r="BQ70" i="15" s="1"/>
  <c r="AH59" i="12"/>
  <c r="AF59" i="12"/>
  <c r="F59" i="12"/>
  <c r="K117" i="13" s="1"/>
  <c r="AG59" i="12"/>
  <c r="AC60" i="12"/>
  <c r="AF60" i="12" s="1"/>
  <c r="W62" i="12"/>
  <c r="X62" i="12" s="1"/>
  <c r="O61" i="12"/>
  <c r="V62" i="12"/>
  <c r="I54" i="12"/>
  <c r="T65" i="15" s="1"/>
  <c r="J54" i="12"/>
  <c r="AL54" i="12"/>
  <c r="L54" i="12" s="1"/>
  <c r="K54" i="12" s="1"/>
  <c r="H112" i="13" s="1"/>
  <c r="I112" i="13" s="1"/>
  <c r="Y61" i="12"/>
  <c r="AB54" i="12"/>
  <c r="E54" i="12" s="1"/>
  <c r="M112" i="13" s="1"/>
  <c r="AI55" i="12"/>
  <c r="AJ55" i="12" s="1"/>
  <c r="AK55" i="12" s="1"/>
  <c r="AH60" i="12" l="1"/>
  <c r="AD60" i="12"/>
  <c r="F60" i="12"/>
  <c r="K118" i="13" s="1"/>
  <c r="AC61" i="12"/>
  <c r="AE61" i="12" s="1"/>
  <c r="H61" i="12" s="1"/>
  <c r="AE60" i="12"/>
  <c r="H60" i="12" s="1"/>
  <c r="AG60" i="12"/>
  <c r="G60" i="12"/>
  <c r="J71" i="15" s="1"/>
  <c r="BQ71" i="15" s="1"/>
  <c r="Y62" i="12"/>
  <c r="AI56" i="12"/>
  <c r="AB55" i="12"/>
  <c r="E55" i="12" s="1"/>
  <c r="M113" i="13" s="1"/>
  <c r="AJ56" i="12"/>
  <c r="AK56" i="12" s="1"/>
  <c r="W63" i="12"/>
  <c r="X63" i="12" s="1"/>
  <c r="V63" i="12"/>
  <c r="O62" i="12"/>
  <c r="AL55" i="12"/>
  <c r="L55" i="12" s="1"/>
  <c r="K55" i="12" s="1"/>
  <c r="H113" i="13" s="1"/>
  <c r="I113" i="13" s="1"/>
  <c r="J55" i="12"/>
  <c r="I55" i="12"/>
  <c r="T66" i="15" s="1"/>
  <c r="AH61" i="12" l="1"/>
  <c r="AG61" i="12"/>
  <c r="AD61" i="12"/>
  <c r="G61" i="12" s="1"/>
  <c r="J72" i="15" s="1"/>
  <c r="BQ72" i="15" s="1"/>
  <c r="AC62" i="12"/>
  <c r="AG62" i="12" s="1"/>
  <c r="AF61" i="12"/>
  <c r="F61" i="12"/>
  <c r="K119" i="13" s="1"/>
  <c r="Y63" i="12"/>
  <c r="W64" i="12"/>
  <c r="X64" i="12" s="1"/>
  <c r="O63" i="12"/>
  <c r="V64" i="12"/>
  <c r="AB56" i="12"/>
  <c r="E56" i="12" s="1"/>
  <c r="M114" i="13" s="1"/>
  <c r="AI57" i="12"/>
  <c r="AJ57" i="12" s="1"/>
  <c r="AK57" i="12" s="1"/>
  <c r="J56" i="12"/>
  <c r="I56" i="12"/>
  <c r="T67" i="15" s="1"/>
  <c r="AL56" i="12"/>
  <c r="L56" i="12" s="1"/>
  <c r="K56" i="12" s="1"/>
  <c r="H114" i="13" s="1"/>
  <c r="I114" i="13" s="1"/>
  <c r="AH62" i="12" l="1"/>
  <c r="AE62" i="12"/>
  <c r="H62" i="12" s="1"/>
  <c r="AD62" i="12"/>
  <c r="G62" i="12" s="1"/>
  <c r="J73" i="15" s="1"/>
  <c r="BQ73" i="15" s="1"/>
  <c r="AF62" i="12"/>
  <c r="F62" i="12"/>
  <c r="K120" i="13" s="1"/>
  <c r="AC63" i="12"/>
  <c r="AH63" i="12" s="1"/>
  <c r="Y64" i="12"/>
  <c r="I57" i="12"/>
  <c r="T68" i="15" s="1"/>
  <c r="J57" i="12"/>
  <c r="AL57" i="12"/>
  <c r="L57" i="12" s="1"/>
  <c r="K57" i="12" s="1"/>
  <c r="H115" i="13" s="1"/>
  <c r="I115" i="13" s="1"/>
  <c r="AB57" i="12"/>
  <c r="E57" i="12" s="1"/>
  <c r="M115" i="13" s="1"/>
  <c r="AJ58" i="12"/>
  <c r="AK58" i="12" s="1"/>
  <c r="AI58" i="12"/>
  <c r="W65" i="12"/>
  <c r="X65" i="12" s="1"/>
  <c r="V65" i="12"/>
  <c r="O64" i="12"/>
  <c r="AF63" i="12" l="1"/>
  <c r="AG63" i="12"/>
  <c r="AD63" i="12"/>
  <c r="AE63" i="12"/>
  <c r="H63" i="12" s="1"/>
  <c r="F63" i="12"/>
  <c r="K121" i="13" s="1"/>
  <c r="AC64" i="12"/>
  <c r="F64" i="12" s="1"/>
  <c r="K122" i="13" s="1"/>
  <c r="G63" i="12"/>
  <c r="J74" i="15" s="1"/>
  <c r="BQ74" i="15" s="1"/>
  <c r="W66" i="12"/>
  <c r="X66" i="12" s="1"/>
  <c r="O65" i="12"/>
  <c r="V66" i="12"/>
  <c r="J58" i="12"/>
  <c r="AL58" i="12"/>
  <c r="L58" i="12" s="1"/>
  <c r="K58" i="12" s="1"/>
  <c r="H116" i="13" s="1"/>
  <c r="I116" i="13" s="1"/>
  <c r="I58" i="12"/>
  <c r="T69" i="15" s="1"/>
  <c r="AB58" i="12"/>
  <c r="E58" i="12" s="1"/>
  <c r="M116" i="13" s="1"/>
  <c r="AJ59" i="12"/>
  <c r="AK59" i="12" s="1"/>
  <c r="AI59" i="12"/>
  <c r="Y65" i="12"/>
  <c r="AD64" i="12" l="1"/>
  <c r="G64" i="12" s="1"/>
  <c r="J75" i="15" s="1"/>
  <c r="BQ75" i="15" s="1"/>
  <c r="AE64" i="12"/>
  <c r="H64" i="12" s="1"/>
  <c r="AC65" i="12"/>
  <c r="AG65" i="12" s="1"/>
  <c r="AF64" i="12"/>
  <c r="AH64" i="12"/>
  <c r="AG64" i="12"/>
  <c r="AJ60" i="12"/>
  <c r="AK60" i="12" s="1"/>
  <c r="AI60" i="12"/>
  <c r="AB59" i="12"/>
  <c r="E59" i="12" s="1"/>
  <c r="M117" i="13" s="1"/>
  <c r="W67" i="12"/>
  <c r="X67" i="12" s="1"/>
  <c r="V67" i="12"/>
  <c r="O66" i="12"/>
  <c r="Y66" i="12"/>
  <c r="J59" i="12"/>
  <c r="I59" i="12"/>
  <c r="T70" i="15" s="1"/>
  <c r="AL59" i="12"/>
  <c r="L59" i="12" s="1"/>
  <c r="K59" i="12" s="1"/>
  <c r="H117" i="13" s="1"/>
  <c r="I117" i="13" s="1"/>
  <c r="AH65" i="12" l="1"/>
  <c r="F65" i="12"/>
  <c r="K123" i="13" s="1"/>
  <c r="AD65" i="12"/>
  <c r="AF65" i="12"/>
  <c r="AE65" i="12"/>
  <c r="H65" i="12" s="1"/>
  <c r="AC66" i="12"/>
  <c r="F66" i="12" s="1"/>
  <c r="K124" i="13" s="1"/>
  <c r="G65" i="12"/>
  <c r="J76" i="15" s="1"/>
  <c r="BQ76" i="15" s="1"/>
  <c r="Y67" i="12"/>
  <c r="W68" i="12"/>
  <c r="X68" i="12" s="1"/>
  <c r="V68" i="12"/>
  <c r="O67" i="12"/>
  <c r="AB60" i="12"/>
  <c r="E60" i="12" s="1"/>
  <c r="M118" i="13" s="1"/>
  <c r="AI61" i="12"/>
  <c r="AJ61" i="12" s="1"/>
  <c r="AK61" i="12" s="1"/>
  <c r="J60" i="12"/>
  <c r="I60" i="12"/>
  <c r="T71" i="15" s="1"/>
  <c r="AL60" i="12"/>
  <c r="L60" i="12" s="1"/>
  <c r="K60" i="12" s="1"/>
  <c r="H118" i="13" s="1"/>
  <c r="I118" i="13" s="1"/>
  <c r="AE66" i="12" l="1"/>
  <c r="H66" i="12" s="1"/>
  <c r="AG66" i="12"/>
  <c r="AD66" i="12"/>
  <c r="AH66" i="12"/>
  <c r="AF66" i="12"/>
  <c r="AC67" i="12"/>
  <c r="F67" i="12" s="1"/>
  <c r="K125" i="13" s="1"/>
  <c r="G66" i="12"/>
  <c r="J77" i="15" s="1"/>
  <c r="BQ77" i="15" s="1"/>
  <c r="Y68" i="12"/>
  <c r="W69" i="12"/>
  <c r="X69" i="12" s="1"/>
  <c r="V69" i="12"/>
  <c r="O68" i="12"/>
  <c r="AB61" i="12"/>
  <c r="E61" i="12" s="1"/>
  <c r="M119" i="13" s="1"/>
  <c r="AI62" i="12"/>
  <c r="AJ62" i="12" s="1"/>
  <c r="AK62" i="12" s="1"/>
  <c r="I61" i="12"/>
  <c r="T72" i="15" s="1"/>
  <c r="AL61" i="12"/>
  <c r="L61" i="12" s="1"/>
  <c r="K61" i="12" s="1"/>
  <c r="H119" i="13" s="1"/>
  <c r="I119" i="13" s="1"/>
  <c r="J61" i="12"/>
  <c r="AG67" i="12" l="1"/>
  <c r="AD67" i="12"/>
  <c r="AH67" i="12"/>
  <c r="AF67" i="12"/>
  <c r="AC68" i="12"/>
  <c r="F68" i="12" s="1"/>
  <c r="K126" i="13" s="1"/>
  <c r="AE67" i="12"/>
  <c r="H67" i="12" s="1"/>
  <c r="G67" i="12"/>
  <c r="J78" i="15" s="1"/>
  <c r="BQ78" i="15" s="1"/>
  <c r="Y69" i="12"/>
  <c r="AL62" i="12"/>
  <c r="L62" i="12" s="1"/>
  <c r="K62" i="12" s="1"/>
  <c r="H120" i="13" s="1"/>
  <c r="I120" i="13" s="1"/>
  <c r="I62" i="12"/>
  <c r="T73" i="15" s="1"/>
  <c r="J62" i="12"/>
  <c r="AB62" i="12"/>
  <c r="E62" i="12" s="1"/>
  <c r="M120" i="13" s="1"/>
  <c r="AJ63" i="12"/>
  <c r="AK63" i="12" s="1"/>
  <c r="AI63" i="12"/>
  <c r="W70" i="12"/>
  <c r="X70" i="12" s="1"/>
  <c r="O69" i="12"/>
  <c r="V70" i="12"/>
  <c r="AD68" i="12" l="1"/>
  <c r="G68" i="12" s="1"/>
  <c r="J79" i="15" s="1"/>
  <c r="BQ79" i="15" s="1"/>
  <c r="AE68" i="12"/>
  <c r="H68" i="12" s="1"/>
  <c r="AG68" i="12"/>
  <c r="AF68" i="12"/>
  <c r="AH68" i="12"/>
  <c r="AC69" i="12"/>
  <c r="AE69" i="12" s="1"/>
  <c r="H69" i="12" s="1"/>
  <c r="AJ64" i="12"/>
  <c r="AK64" i="12" s="1"/>
  <c r="AB63" i="12"/>
  <c r="E63" i="12" s="1"/>
  <c r="M121" i="13" s="1"/>
  <c r="AI64" i="12"/>
  <c r="I63" i="12"/>
  <c r="T74" i="15" s="1"/>
  <c r="J63" i="12"/>
  <c r="AL63" i="12"/>
  <c r="L63" i="12" s="1"/>
  <c r="K63" i="12" s="1"/>
  <c r="H121" i="13" s="1"/>
  <c r="I121" i="13" s="1"/>
  <c r="Y70" i="12"/>
  <c r="W71" i="12"/>
  <c r="X71" i="12" s="1"/>
  <c r="O70" i="12"/>
  <c r="V71" i="12"/>
  <c r="AH69" i="12" l="1"/>
  <c r="F69" i="12"/>
  <c r="K127" i="13" s="1"/>
  <c r="AF69" i="12"/>
  <c r="AD69" i="12"/>
  <c r="G69" i="12" s="1"/>
  <c r="J80" i="15" s="1"/>
  <c r="BQ80" i="15" s="1"/>
  <c r="AC70" i="12"/>
  <c r="F70" i="12" s="1"/>
  <c r="K128" i="13" s="1"/>
  <c r="AG69" i="12"/>
  <c r="W72" i="12"/>
  <c r="X72" i="12" s="1"/>
  <c r="V72" i="12"/>
  <c r="O71" i="12"/>
  <c r="J64" i="12"/>
  <c r="AL64" i="12"/>
  <c r="L64" i="12" s="1"/>
  <c r="K64" i="12" s="1"/>
  <c r="H122" i="13" s="1"/>
  <c r="I122" i="13" s="1"/>
  <c r="I64" i="12"/>
  <c r="T75" i="15" s="1"/>
  <c r="AB64" i="12"/>
  <c r="E64" i="12" s="1"/>
  <c r="M122" i="13" s="1"/>
  <c r="AJ65" i="12"/>
  <c r="AK65" i="12" s="1"/>
  <c r="AI65" i="12"/>
  <c r="Y71" i="12"/>
  <c r="AH70" i="12" l="1"/>
  <c r="AC71" i="12"/>
  <c r="AH71" i="12" s="1"/>
  <c r="AF70" i="12"/>
  <c r="AE70" i="12"/>
  <c r="H70" i="12" s="1"/>
  <c r="AG70" i="12"/>
  <c r="AD70" i="12"/>
  <c r="G70" i="12" s="1"/>
  <c r="J81" i="15" s="1"/>
  <c r="BQ81" i="15" s="1"/>
  <c r="Y72" i="12"/>
  <c r="W73" i="12"/>
  <c r="X73" i="12" s="1"/>
  <c r="O72" i="12"/>
  <c r="V73" i="12"/>
  <c r="I65" i="12"/>
  <c r="T76" i="15" s="1"/>
  <c r="J65" i="12"/>
  <c r="AL65" i="12"/>
  <c r="L65" i="12" s="1"/>
  <c r="K65" i="12" s="1"/>
  <c r="H123" i="13" s="1"/>
  <c r="I123" i="13" s="1"/>
  <c r="AD71" i="12"/>
  <c r="AG71" i="12"/>
  <c r="AJ66" i="12"/>
  <c r="AK66" i="12" s="1"/>
  <c r="AB65" i="12"/>
  <c r="E65" i="12" s="1"/>
  <c r="M123" i="13" s="1"/>
  <c r="AI66" i="12"/>
  <c r="AE71" i="12" l="1"/>
  <c r="H71" i="12" s="1"/>
  <c r="F71" i="12"/>
  <c r="K129" i="13" s="1"/>
  <c r="AF71" i="12"/>
  <c r="AC72" i="12"/>
  <c r="AE72" i="12" s="1"/>
  <c r="H72" i="12" s="1"/>
  <c r="G71" i="12"/>
  <c r="J82" i="15" s="1"/>
  <c r="BQ82" i="15" s="1"/>
  <c r="Y73" i="12"/>
  <c r="W74" i="12"/>
  <c r="X74" i="12" s="1"/>
  <c r="V74" i="12"/>
  <c r="O73" i="12"/>
  <c r="I66" i="12"/>
  <c r="T77" i="15" s="1"/>
  <c r="J66" i="12"/>
  <c r="AL66" i="12"/>
  <c r="L66" i="12" s="1"/>
  <c r="K66" i="12" s="1"/>
  <c r="H124" i="13" s="1"/>
  <c r="I124" i="13" s="1"/>
  <c r="AJ67" i="12"/>
  <c r="AK67" i="12" s="1"/>
  <c r="AB66" i="12"/>
  <c r="E66" i="12" s="1"/>
  <c r="M124" i="13" s="1"/>
  <c r="AI67" i="12"/>
  <c r="AH72" i="12"/>
  <c r="AD72" i="12"/>
  <c r="AG72" i="12"/>
  <c r="F72" i="12" l="1"/>
  <c r="K130" i="13" s="1"/>
  <c r="AF72" i="12"/>
  <c r="AC73" i="12"/>
  <c r="AH73" i="12" s="1"/>
  <c r="G72" i="12"/>
  <c r="J83" i="15" s="1"/>
  <c r="BQ83" i="15" s="1"/>
  <c r="W75" i="12"/>
  <c r="X75" i="12" s="1"/>
  <c r="V75" i="12"/>
  <c r="O74" i="12"/>
  <c r="AJ68" i="12"/>
  <c r="AK68" i="12" s="1"/>
  <c r="AI68" i="12"/>
  <c r="AB67" i="12"/>
  <c r="E67" i="12" s="1"/>
  <c r="M125" i="13" s="1"/>
  <c r="Y74" i="12"/>
  <c r="I67" i="12"/>
  <c r="T78" i="15" s="1"/>
  <c r="AL67" i="12"/>
  <c r="L67" i="12" s="1"/>
  <c r="K67" i="12" s="1"/>
  <c r="H125" i="13" s="1"/>
  <c r="I125" i="13" s="1"/>
  <c r="J67" i="12"/>
  <c r="AF73" i="12" l="1"/>
  <c r="AG73" i="12"/>
  <c r="AD73" i="12"/>
  <c r="F73" i="12"/>
  <c r="K131" i="13" s="1"/>
  <c r="AE73" i="12"/>
  <c r="H73" i="12" s="1"/>
  <c r="AC74" i="12"/>
  <c r="F74" i="12" s="1"/>
  <c r="K132" i="13" s="1"/>
  <c r="G73" i="12"/>
  <c r="J84" i="15" s="1"/>
  <c r="BQ84" i="15" s="1"/>
  <c r="W76" i="12"/>
  <c r="X76" i="12" s="1"/>
  <c r="V76" i="12"/>
  <c r="O75" i="12"/>
  <c r="J68" i="12"/>
  <c r="I68" i="12"/>
  <c r="T79" i="15" s="1"/>
  <c r="AL68" i="12"/>
  <c r="L68" i="12" s="1"/>
  <c r="K68" i="12" s="1"/>
  <c r="H126" i="13" s="1"/>
  <c r="I126" i="13" s="1"/>
  <c r="AJ69" i="12"/>
  <c r="AK69" i="12" s="1"/>
  <c r="AI69" i="12"/>
  <c r="AB68" i="12"/>
  <c r="E68" i="12" s="1"/>
  <c r="M126" i="13" s="1"/>
  <c r="Y75" i="12"/>
  <c r="AF74" i="12" l="1"/>
  <c r="AD74" i="12"/>
  <c r="AG74" i="12"/>
  <c r="AH74" i="12"/>
  <c r="AE74" i="12"/>
  <c r="H74" i="12" s="1"/>
  <c r="AC75" i="12"/>
  <c r="AF75" i="12" s="1"/>
  <c r="G74" i="12"/>
  <c r="J85" i="15" s="1"/>
  <c r="BQ85" i="15" s="1"/>
  <c r="Y76" i="12"/>
  <c r="W77" i="12"/>
  <c r="X77" i="12" s="1"/>
  <c r="V77" i="12"/>
  <c r="O76" i="12"/>
  <c r="AJ70" i="12"/>
  <c r="AK70" i="12" s="1"/>
  <c r="AI70" i="12"/>
  <c r="AB69" i="12"/>
  <c r="E69" i="12" s="1"/>
  <c r="M127" i="13" s="1"/>
  <c r="I69" i="12"/>
  <c r="T80" i="15" s="1"/>
  <c r="AL69" i="12"/>
  <c r="L69" i="12" s="1"/>
  <c r="K69" i="12" s="1"/>
  <c r="H127" i="13" s="1"/>
  <c r="I127" i="13" s="1"/>
  <c r="J69" i="12"/>
  <c r="F75" i="12" l="1"/>
  <c r="K133" i="13" s="1"/>
  <c r="AH75" i="12"/>
  <c r="AG75" i="12"/>
  <c r="AD75" i="12"/>
  <c r="AE75" i="12"/>
  <c r="H75" i="12" s="1"/>
  <c r="AC76" i="12"/>
  <c r="AD76" i="12" s="1"/>
  <c r="G75" i="12"/>
  <c r="J86" i="15" s="1"/>
  <c r="BQ86" i="15" s="1"/>
  <c r="Y77" i="12"/>
  <c r="AB70" i="12"/>
  <c r="E70" i="12" s="1"/>
  <c r="M128" i="13" s="1"/>
  <c r="AJ71" i="12"/>
  <c r="AK71" i="12" s="1"/>
  <c r="AI71" i="12"/>
  <c r="W78" i="12"/>
  <c r="X78" i="12" s="1"/>
  <c r="V78" i="12"/>
  <c r="O77" i="12"/>
  <c r="I70" i="12"/>
  <c r="T81" i="15" s="1"/>
  <c r="AL70" i="12"/>
  <c r="L70" i="12" s="1"/>
  <c r="K70" i="12" s="1"/>
  <c r="H128" i="13" s="1"/>
  <c r="I128" i="13" s="1"/>
  <c r="J70" i="12"/>
  <c r="AF76" i="12" l="1"/>
  <c r="AH76" i="12"/>
  <c r="F76" i="12"/>
  <c r="K134" i="13" s="1"/>
  <c r="AE76" i="12"/>
  <c r="H76" i="12" s="1"/>
  <c r="AG76" i="12"/>
  <c r="AC77" i="12"/>
  <c r="AD77" i="12" s="1"/>
  <c r="G76" i="12"/>
  <c r="J87" i="15" s="1"/>
  <c r="BQ87" i="15" s="1"/>
  <c r="W79" i="12"/>
  <c r="X79" i="12" s="1"/>
  <c r="O78" i="12"/>
  <c r="V79" i="12"/>
  <c r="Y78" i="12"/>
  <c r="AI72" i="12"/>
  <c r="AB71" i="12"/>
  <c r="E71" i="12" s="1"/>
  <c r="M129" i="13" s="1"/>
  <c r="AJ72" i="12"/>
  <c r="AK72" i="12" s="1"/>
  <c r="I71" i="12"/>
  <c r="T82" i="15" s="1"/>
  <c r="AL71" i="12"/>
  <c r="L71" i="12" s="1"/>
  <c r="K71" i="12" s="1"/>
  <c r="H129" i="13" s="1"/>
  <c r="I129" i="13" s="1"/>
  <c r="J71" i="12"/>
  <c r="AE77" i="12" l="1"/>
  <c r="H77" i="12" s="1"/>
  <c r="AF77" i="12"/>
  <c r="AH77" i="12"/>
  <c r="F77" i="12"/>
  <c r="K135" i="13" s="1"/>
  <c r="AG77" i="12"/>
  <c r="AC78" i="12"/>
  <c r="AF78" i="12" s="1"/>
  <c r="G77" i="12"/>
  <c r="J88" i="15" s="1"/>
  <c r="BQ88" i="15" s="1"/>
  <c r="W80" i="12"/>
  <c r="X80" i="12" s="1"/>
  <c r="V80" i="12"/>
  <c r="O79" i="12"/>
  <c r="AB72" i="12"/>
  <c r="E72" i="12" s="1"/>
  <c r="M130" i="13" s="1"/>
  <c r="AI73" i="12"/>
  <c r="AJ73" i="12"/>
  <c r="AK73" i="12" s="1"/>
  <c r="I72" i="12"/>
  <c r="T83" i="15" s="1"/>
  <c r="AL72" i="12"/>
  <c r="L72" i="12" s="1"/>
  <c r="K72" i="12" s="1"/>
  <c r="H130" i="13" s="1"/>
  <c r="I130" i="13" s="1"/>
  <c r="J72" i="12"/>
  <c r="Y79" i="12"/>
  <c r="AG78" i="12" l="1"/>
  <c r="AH78" i="12"/>
  <c r="AE78" i="12"/>
  <c r="H78" i="12" s="1"/>
  <c r="AD78" i="12"/>
  <c r="G78" i="12" s="1"/>
  <c r="J89" i="15" s="1"/>
  <c r="BQ89" i="15" s="1"/>
  <c r="F78" i="12"/>
  <c r="K136" i="13" s="1"/>
  <c r="AC79" i="12"/>
  <c r="AE79" i="12" s="1"/>
  <c r="H79" i="12" s="1"/>
  <c r="Y80" i="12"/>
  <c r="AB73" i="12"/>
  <c r="E73" i="12" s="1"/>
  <c r="M131" i="13" s="1"/>
  <c r="AJ74" i="12"/>
  <c r="AK74" i="12" s="1"/>
  <c r="AI74" i="12"/>
  <c r="J73" i="12"/>
  <c r="I73" i="12"/>
  <c r="T84" i="15" s="1"/>
  <c r="AL73" i="12"/>
  <c r="L73" i="12" s="1"/>
  <c r="K73" i="12" s="1"/>
  <c r="H131" i="13" s="1"/>
  <c r="I131" i="13" s="1"/>
  <c r="W81" i="12"/>
  <c r="X81" i="12" s="1"/>
  <c r="O80" i="12"/>
  <c r="V81" i="12"/>
  <c r="AG79" i="12" l="1"/>
  <c r="F79" i="12"/>
  <c r="K137" i="13" s="1"/>
  <c r="AH79" i="12"/>
  <c r="AF79" i="12"/>
  <c r="AD79" i="12"/>
  <c r="AC80" i="12"/>
  <c r="AF80" i="12" s="1"/>
  <c r="G79" i="12"/>
  <c r="J90" i="15" s="1"/>
  <c r="BQ90" i="15" s="1"/>
  <c r="Y81" i="12"/>
  <c r="W82" i="12"/>
  <c r="X82" i="12" s="1"/>
  <c r="O81" i="12"/>
  <c r="V82" i="12"/>
  <c r="J74" i="12"/>
  <c r="I74" i="12"/>
  <c r="T85" i="15" s="1"/>
  <c r="AL74" i="12"/>
  <c r="L74" i="12" s="1"/>
  <c r="K74" i="12" s="1"/>
  <c r="H132" i="13" s="1"/>
  <c r="I132" i="13" s="1"/>
  <c r="AI75" i="12"/>
  <c r="AB74" i="12"/>
  <c r="E74" i="12" s="1"/>
  <c r="M132" i="13" s="1"/>
  <c r="AJ75" i="12"/>
  <c r="AK75" i="12" s="1"/>
  <c r="AE80" i="12" l="1"/>
  <c r="H80" i="12" s="1"/>
  <c r="AG80" i="12"/>
  <c r="F80" i="12"/>
  <c r="K138" i="13" s="1"/>
  <c r="AD80" i="12"/>
  <c r="AH80" i="12"/>
  <c r="AC81" i="12"/>
  <c r="F81" i="12" s="1"/>
  <c r="K139" i="13" s="1"/>
  <c r="G80" i="12"/>
  <c r="J91" i="15" s="1"/>
  <c r="BQ91" i="15" s="1"/>
  <c r="Y82" i="12"/>
  <c r="W83" i="12"/>
  <c r="X83" i="12" s="1"/>
  <c r="V83" i="12"/>
  <c r="O82" i="12"/>
  <c r="I75" i="12"/>
  <c r="T86" i="15" s="1"/>
  <c r="J75" i="12"/>
  <c r="AL75" i="12"/>
  <c r="L75" i="12" s="1"/>
  <c r="K75" i="12" s="1"/>
  <c r="H133" i="13" s="1"/>
  <c r="I133" i="13" s="1"/>
  <c r="AJ76" i="12"/>
  <c r="AK76" i="12" s="1"/>
  <c r="AI76" i="12"/>
  <c r="AB75" i="12"/>
  <c r="E75" i="12" s="1"/>
  <c r="M133" i="13" s="1"/>
  <c r="AF81" i="12" l="1"/>
  <c r="AG81" i="12"/>
  <c r="AD81" i="12"/>
  <c r="G81" i="12" s="1"/>
  <c r="J92" i="15" s="1"/>
  <c r="BQ92" i="15" s="1"/>
  <c r="AE81" i="12"/>
  <c r="H81" i="12" s="1"/>
  <c r="AH81" i="12"/>
  <c r="AC82" i="12"/>
  <c r="F82" i="12" s="1"/>
  <c r="K140" i="13" s="1"/>
  <c r="Y83" i="12"/>
  <c r="W84" i="12"/>
  <c r="X84" i="12" s="1"/>
  <c r="V84" i="12"/>
  <c r="O83" i="12"/>
  <c r="AB76" i="12"/>
  <c r="E76" i="12" s="1"/>
  <c r="M134" i="13" s="1"/>
  <c r="AJ77" i="12"/>
  <c r="AK77" i="12" s="1"/>
  <c r="AI77" i="12"/>
  <c r="AL76" i="12"/>
  <c r="L76" i="12" s="1"/>
  <c r="K76" i="12" s="1"/>
  <c r="H134" i="13" s="1"/>
  <c r="I134" i="13" s="1"/>
  <c r="I76" i="12"/>
  <c r="T87" i="15" s="1"/>
  <c r="J76" i="12"/>
  <c r="AG82" i="12" l="1"/>
  <c r="AD82" i="12"/>
  <c r="AF82" i="12"/>
  <c r="AH82" i="12"/>
  <c r="AE82" i="12"/>
  <c r="H82" i="12" s="1"/>
  <c r="AC83" i="12"/>
  <c r="AF83" i="12" s="1"/>
  <c r="G82" i="12"/>
  <c r="J93" i="15" s="1"/>
  <c r="BQ93" i="15" s="1"/>
  <c r="W85" i="12"/>
  <c r="X85" i="12" s="1"/>
  <c r="O84" i="12"/>
  <c r="V85" i="12"/>
  <c r="AI78" i="12"/>
  <c r="AB77" i="12"/>
  <c r="E77" i="12" s="1"/>
  <c r="M135" i="13" s="1"/>
  <c r="AJ78" i="12"/>
  <c r="AK78" i="12" s="1"/>
  <c r="AL77" i="12"/>
  <c r="L77" i="12" s="1"/>
  <c r="K77" i="12" s="1"/>
  <c r="H135" i="13" s="1"/>
  <c r="I135" i="13" s="1"/>
  <c r="I77" i="12"/>
  <c r="T88" i="15" s="1"/>
  <c r="J77" i="12"/>
  <c r="Y84" i="12"/>
  <c r="F83" i="12" l="1"/>
  <c r="K141" i="13" s="1"/>
  <c r="AH83" i="12"/>
  <c r="AG83" i="12"/>
  <c r="AD83" i="12"/>
  <c r="AE83" i="12"/>
  <c r="H83" i="12" s="1"/>
  <c r="AC84" i="12"/>
  <c r="AG84" i="12" s="1"/>
  <c r="G83" i="12"/>
  <c r="J94" i="15" s="1"/>
  <c r="BQ94" i="15" s="1"/>
  <c r="Y85" i="12"/>
  <c r="W86" i="12"/>
  <c r="X86" i="12" s="1"/>
  <c r="V86" i="12"/>
  <c r="O85" i="12"/>
  <c r="AB78" i="12"/>
  <c r="E78" i="12" s="1"/>
  <c r="M136" i="13" s="1"/>
  <c r="AI79" i="12"/>
  <c r="AJ79" i="12"/>
  <c r="AK79" i="12" s="1"/>
  <c r="J78" i="12"/>
  <c r="I78" i="12"/>
  <c r="T89" i="15" s="1"/>
  <c r="AL78" i="12"/>
  <c r="L78" i="12" s="1"/>
  <c r="K78" i="12" s="1"/>
  <c r="H136" i="13" s="1"/>
  <c r="I136" i="13" s="1"/>
  <c r="AD84" i="12" l="1"/>
  <c r="G84" i="12" s="1"/>
  <c r="J95" i="15" s="1"/>
  <c r="BQ95" i="15" s="1"/>
  <c r="F84" i="12"/>
  <c r="K142" i="13" s="1"/>
  <c r="AE84" i="12"/>
  <c r="H84" i="12" s="1"/>
  <c r="AF84" i="12"/>
  <c r="AH84" i="12"/>
  <c r="AC85" i="12"/>
  <c r="AF85" i="12" s="1"/>
  <c r="Y86" i="12"/>
  <c r="W87" i="12"/>
  <c r="X87" i="12" s="1"/>
  <c r="O86" i="12"/>
  <c r="V87" i="12"/>
  <c r="J79" i="12"/>
  <c r="I79" i="12"/>
  <c r="T90" i="15" s="1"/>
  <c r="AL79" i="12"/>
  <c r="L79" i="12" s="1"/>
  <c r="K79" i="12" s="1"/>
  <c r="H137" i="13" s="1"/>
  <c r="I137" i="13" s="1"/>
  <c r="AI80" i="12"/>
  <c r="AB79" i="12"/>
  <c r="E79" i="12" s="1"/>
  <c r="M137" i="13" s="1"/>
  <c r="AJ80" i="12"/>
  <c r="AK80" i="12" s="1"/>
  <c r="AZ12" i="7"/>
  <c r="AR12" i="7"/>
  <c r="AU12" i="7" s="1"/>
  <c r="M12" i="7"/>
  <c r="N12" i="7" s="1"/>
  <c r="N17" i="15" s="1"/>
  <c r="O17" i="15" s="1"/>
  <c r="AH85" i="12" l="1"/>
  <c r="F85" i="12"/>
  <c r="K143" i="13" s="1"/>
  <c r="AG85" i="12"/>
  <c r="AE85" i="12"/>
  <c r="H85" i="12" s="1"/>
  <c r="AD85" i="12"/>
  <c r="G85" i="12" s="1"/>
  <c r="J96" i="15" s="1"/>
  <c r="BQ96" i="15" s="1"/>
  <c r="AC86" i="12"/>
  <c r="F86" i="12" s="1"/>
  <c r="K144" i="13" s="1"/>
  <c r="BA12" i="7"/>
  <c r="AX13" i="7" s="1"/>
  <c r="BC12" i="7"/>
  <c r="AJ81" i="12"/>
  <c r="AK81" i="12" s="1"/>
  <c r="AI81" i="12"/>
  <c r="AB80" i="12"/>
  <c r="E80" i="12" s="1"/>
  <c r="M138" i="13" s="1"/>
  <c r="W88" i="12"/>
  <c r="X88" i="12" s="1"/>
  <c r="V88" i="12"/>
  <c r="O87" i="12"/>
  <c r="Y87" i="12"/>
  <c r="I80" i="12"/>
  <c r="T91" i="15" s="1"/>
  <c r="AL80" i="12"/>
  <c r="L80" i="12" s="1"/>
  <c r="K80" i="12" s="1"/>
  <c r="H138" i="13" s="1"/>
  <c r="I138" i="13" s="1"/>
  <c r="J80" i="12"/>
  <c r="AS12" i="7"/>
  <c r="AO13" i="7" s="1"/>
  <c r="AQ13" i="7" s="1"/>
  <c r="AB12" i="7"/>
  <c r="AE12" i="7" s="1"/>
  <c r="AJ12" i="7"/>
  <c r="L12" i="7"/>
  <c r="T12" i="7" s="1"/>
  <c r="AG86" i="12" l="1"/>
  <c r="AD86" i="12"/>
  <c r="G86" i="12" s="1"/>
  <c r="J97" i="15" s="1"/>
  <c r="BQ97" i="15" s="1"/>
  <c r="AF86" i="12"/>
  <c r="AH86" i="12"/>
  <c r="AE86" i="12"/>
  <c r="H86" i="12" s="1"/>
  <c r="AC87" i="12"/>
  <c r="AH87" i="12" s="1"/>
  <c r="AW13" i="7"/>
  <c r="AY13" i="7" s="1"/>
  <c r="Y88" i="12"/>
  <c r="W89" i="12"/>
  <c r="X89" i="12" s="1"/>
  <c r="V89" i="12"/>
  <c r="O88" i="12"/>
  <c r="I81" i="12"/>
  <c r="T92" i="15" s="1"/>
  <c r="J81" i="12"/>
  <c r="AL81" i="12"/>
  <c r="L81" i="12" s="1"/>
  <c r="K81" i="12" s="1"/>
  <c r="H139" i="13" s="1"/>
  <c r="I139" i="13" s="1"/>
  <c r="AB81" i="12"/>
  <c r="E81" i="12" s="1"/>
  <c r="M139" i="13" s="1"/>
  <c r="AI82" i="12"/>
  <c r="AJ82" i="12"/>
  <c r="AK82" i="12" s="1"/>
  <c r="AP13" i="7"/>
  <c r="I12" i="7"/>
  <c r="AT13" i="7"/>
  <c r="AK12" i="7"/>
  <c r="AC12" i="7"/>
  <c r="Q12" i="7"/>
  <c r="I17" i="15" s="1"/>
  <c r="K17" i="15" s="1"/>
  <c r="AD87" i="12" l="1"/>
  <c r="G87" i="12" s="1"/>
  <c r="J98" i="15" s="1"/>
  <c r="BQ98" i="15" s="1"/>
  <c r="AF87" i="12"/>
  <c r="AE87" i="12"/>
  <c r="H87" i="12" s="1"/>
  <c r="F87" i="12"/>
  <c r="K145" i="13" s="1"/>
  <c r="AG87" i="12"/>
  <c r="AC88" i="12"/>
  <c r="AG88" i="12" s="1"/>
  <c r="BB13" i="7"/>
  <c r="W90" i="12"/>
  <c r="X90" i="12" s="1"/>
  <c r="V90" i="12"/>
  <c r="O89" i="12"/>
  <c r="AI83" i="12"/>
  <c r="AB82" i="12"/>
  <c r="E82" i="12" s="1"/>
  <c r="M140" i="13" s="1"/>
  <c r="AJ83" i="12"/>
  <c r="AK83" i="12" s="1"/>
  <c r="J82" i="12"/>
  <c r="I82" i="12"/>
  <c r="T93" i="15" s="1"/>
  <c r="AL82" i="12"/>
  <c r="L82" i="12" s="1"/>
  <c r="K82" i="12" s="1"/>
  <c r="H140" i="13" s="1"/>
  <c r="I140" i="13" s="1"/>
  <c r="Y89" i="12"/>
  <c r="Q17" i="15"/>
  <c r="Y13" i="7"/>
  <c r="Z13" i="7"/>
  <c r="G12" i="7"/>
  <c r="AG13" i="7"/>
  <c r="AL13" i="7" s="1"/>
  <c r="AH13" i="7"/>
  <c r="AH88" i="12" l="1"/>
  <c r="AE88" i="12"/>
  <c r="H88" i="12" s="1"/>
  <c r="AD88" i="12"/>
  <c r="AF88" i="12"/>
  <c r="F88" i="12"/>
  <c r="K146" i="13" s="1"/>
  <c r="AC89" i="12"/>
  <c r="F89" i="12" s="1"/>
  <c r="K147" i="13" s="1"/>
  <c r="G88" i="12"/>
  <c r="J99" i="15" s="1"/>
  <c r="BQ99" i="15" s="1"/>
  <c r="Y90" i="12"/>
  <c r="W91" i="12"/>
  <c r="X91" i="12" s="1"/>
  <c r="O90" i="12"/>
  <c r="V91" i="12"/>
  <c r="AL83" i="12"/>
  <c r="L83" i="12" s="1"/>
  <c r="K83" i="12" s="1"/>
  <c r="H141" i="13" s="1"/>
  <c r="I141" i="13" s="1"/>
  <c r="J83" i="12"/>
  <c r="I83" i="12"/>
  <c r="T94" i="15" s="1"/>
  <c r="AB83" i="12"/>
  <c r="E83" i="12" s="1"/>
  <c r="M141" i="13" s="1"/>
  <c r="AI84" i="12"/>
  <c r="AJ84" i="12"/>
  <c r="AK84" i="12" s="1"/>
  <c r="AI13" i="7"/>
  <c r="AM13" i="7" s="1"/>
  <c r="AA13" i="7"/>
  <c r="AD13" i="7"/>
  <c r="L11" i="9"/>
  <c r="R17" i="15"/>
  <c r="AG89" i="12" l="1"/>
  <c r="AC90" i="12"/>
  <c r="AE90" i="12" s="1"/>
  <c r="H90" i="12" s="1"/>
  <c r="AD89" i="12"/>
  <c r="AH89" i="12"/>
  <c r="AE89" i="12"/>
  <c r="H89" i="12" s="1"/>
  <c r="AF89" i="12"/>
  <c r="G89" i="12"/>
  <c r="J100" i="15" s="1"/>
  <c r="BQ100" i="15" s="1"/>
  <c r="Y91" i="12"/>
  <c r="AJ85" i="12"/>
  <c r="AK85" i="12" s="1"/>
  <c r="AB84" i="12"/>
  <c r="E84" i="12" s="1"/>
  <c r="M142" i="13" s="1"/>
  <c r="AI85" i="12"/>
  <c r="AL84" i="12"/>
  <c r="L84" i="12" s="1"/>
  <c r="K84" i="12" s="1"/>
  <c r="H142" i="13" s="1"/>
  <c r="I142" i="13" s="1"/>
  <c r="J84" i="12"/>
  <c r="I84" i="12"/>
  <c r="T95" i="15" s="1"/>
  <c r="W92" i="12"/>
  <c r="X92" i="12" s="1"/>
  <c r="V92" i="12"/>
  <c r="O91" i="12"/>
  <c r="AU17" i="15"/>
  <c r="AW17" i="15"/>
  <c r="AV17" i="15"/>
  <c r="AZ17" i="15"/>
  <c r="AS17" i="15"/>
  <c r="AX17" i="15"/>
  <c r="AY17" i="15"/>
  <c r="AR17" i="15"/>
  <c r="AT17" i="15"/>
  <c r="AD90" i="12" l="1"/>
  <c r="G90" i="12" s="1"/>
  <c r="J101" i="15" s="1"/>
  <c r="BQ101" i="15" s="1"/>
  <c r="AG90" i="12"/>
  <c r="AF90" i="12"/>
  <c r="F90" i="12"/>
  <c r="K148" i="13" s="1"/>
  <c r="AH90" i="12"/>
  <c r="AC91" i="12"/>
  <c r="AH91" i="12" s="1"/>
  <c r="Y92" i="12"/>
  <c r="W93" i="12"/>
  <c r="X93" i="12" s="1"/>
  <c r="O92" i="12"/>
  <c r="V93" i="12"/>
  <c r="J85" i="12"/>
  <c r="I85" i="12"/>
  <c r="T96" i="15" s="1"/>
  <c r="AL85" i="12"/>
  <c r="L85" i="12" s="1"/>
  <c r="K85" i="12" s="1"/>
  <c r="H143" i="13" s="1"/>
  <c r="I143" i="13" s="1"/>
  <c r="AF91" i="12"/>
  <c r="AJ86" i="12"/>
  <c r="AK86" i="12" s="1"/>
  <c r="AI86" i="12"/>
  <c r="AB85" i="12"/>
  <c r="E85" i="12" s="1"/>
  <c r="M143" i="13" s="1"/>
  <c r="AQ17" i="15"/>
  <c r="S17" i="15" s="1"/>
  <c r="U17" i="15" s="1"/>
  <c r="F91" i="12" l="1"/>
  <c r="K149" i="13" s="1"/>
  <c r="AE91" i="12"/>
  <c r="H91" i="12" s="1"/>
  <c r="AG91" i="12"/>
  <c r="AD91" i="12"/>
  <c r="AC92" i="12"/>
  <c r="AH92" i="12" s="1"/>
  <c r="G91" i="12"/>
  <c r="J102" i="15" s="1"/>
  <c r="BQ102" i="15" s="1"/>
  <c r="V17" i="15"/>
  <c r="AN17" i="15" s="1"/>
  <c r="W17" i="15"/>
  <c r="Y93" i="12"/>
  <c r="W94" i="12"/>
  <c r="X94" i="12" s="1"/>
  <c r="V94" i="12"/>
  <c r="O93" i="12"/>
  <c r="AI87" i="12"/>
  <c r="AB86" i="12"/>
  <c r="E86" i="12" s="1"/>
  <c r="M144" i="13" s="1"/>
  <c r="AJ87" i="12"/>
  <c r="AK87" i="12" s="1"/>
  <c r="I86" i="12"/>
  <c r="T97" i="15" s="1"/>
  <c r="AL86" i="12"/>
  <c r="L86" i="12" s="1"/>
  <c r="K86" i="12" s="1"/>
  <c r="H144" i="13" s="1"/>
  <c r="I144" i="13" s="1"/>
  <c r="J86" i="12"/>
  <c r="AI17" i="15" l="1"/>
  <c r="AD17" i="15"/>
  <c r="AE92" i="12"/>
  <c r="H92" i="12" s="1"/>
  <c r="AF92" i="12"/>
  <c r="AD92" i="12"/>
  <c r="G92" i="12" s="1"/>
  <c r="J103" i="15" s="1"/>
  <c r="BQ103" i="15" s="1"/>
  <c r="AG92" i="12"/>
  <c r="F92" i="12"/>
  <c r="K150" i="13" s="1"/>
  <c r="AC93" i="12"/>
  <c r="AD93" i="12" s="1"/>
  <c r="AL17" i="15"/>
  <c r="AK17" i="15"/>
  <c r="AJ17" i="15"/>
  <c r="AH17" i="15"/>
  <c r="AG17" i="15"/>
  <c r="AO17" i="15"/>
  <c r="AF17" i="15"/>
  <c r="AE17" i="15"/>
  <c r="BC17" i="15"/>
  <c r="BF17" i="15"/>
  <c r="BJ17" i="15"/>
  <c r="BD17" i="15"/>
  <c r="BE17" i="15"/>
  <c r="BG17" i="15"/>
  <c r="BI17" i="15"/>
  <c r="BH17" i="15"/>
  <c r="BK17" i="15"/>
  <c r="W95" i="12"/>
  <c r="X95" i="12" s="1"/>
  <c r="V95" i="12"/>
  <c r="O94" i="12"/>
  <c r="AB87" i="12"/>
  <c r="E87" i="12" s="1"/>
  <c r="M145" i="13" s="1"/>
  <c r="AJ88" i="12"/>
  <c r="AK88" i="12" s="1"/>
  <c r="AI88" i="12"/>
  <c r="J87" i="12"/>
  <c r="AL87" i="12"/>
  <c r="L87" i="12" s="1"/>
  <c r="K87" i="12" s="1"/>
  <c r="H145" i="13" s="1"/>
  <c r="I145" i="13" s="1"/>
  <c r="I87" i="12"/>
  <c r="T98" i="15" s="1"/>
  <c r="Y94" i="12"/>
  <c r="AE93" i="12" l="1"/>
  <c r="H93" i="12" s="1"/>
  <c r="AH93" i="12"/>
  <c r="AF93" i="12"/>
  <c r="F93" i="12"/>
  <c r="K151" i="13" s="1"/>
  <c r="AG93" i="12"/>
  <c r="AC94" i="12"/>
  <c r="F94" i="12" s="1"/>
  <c r="K152" i="13" s="1"/>
  <c r="G93" i="12"/>
  <c r="J104" i="15" s="1"/>
  <c r="BQ104" i="15" s="1"/>
  <c r="AC17" i="15"/>
  <c r="BB17" i="15"/>
  <c r="L17" i="15" s="1"/>
  <c r="U12" i="7" s="1"/>
  <c r="V12" i="7" s="1"/>
  <c r="AI89" i="12"/>
  <c r="AB88" i="12"/>
  <c r="E88" i="12" s="1"/>
  <c r="M146" i="13" s="1"/>
  <c r="AJ89" i="12"/>
  <c r="AK89" i="12" s="1"/>
  <c r="J88" i="12"/>
  <c r="I88" i="12"/>
  <c r="T99" i="15" s="1"/>
  <c r="AL88" i="12"/>
  <c r="L88" i="12" s="1"/>
  <c r="K88" i="12" s="1"/>
  <c r="H146" i="13" s="1"/>
  <c r="I146" i="13" s="1"/>
  <c r="Y95" i="12"/>
  <c r="W96" i="12"/>
  <c r="X96" i="12" s="1"/>
  <c r="V96" i="12"/>
  <c r="O95" i="12"/>
  <c r="AA17" i="15" l="1"/>
  <c r="N11" i="9" s="1"/>
  <c r="AG94" i="12"/>
  <c r="AD94" i="12"/>
  <c r="G94" i="12" s="1"/>
  <c r="J105" i="15" s="1"/>
  <c r="BQ105" i="15" s="1"/>
  <c r="AF94" i="12"/>
  <c r="AE94" i="12"/>
  <c r="H94" i="12" s="1"/>
  <c r="AH94" i="12"/>
  <c r="AC95" i="12"/>
  <c r="F95" i="12" s="1"/>
  <c r="K153" i="13" s="1"/>
  <c r="F12" i="7"/>
  <c r="W13" i="7"/>
  <c r="S13" i="7"/>
  <c r="P13" i="7" s="1"/>
  <c r="Y96" i="12"/>
  <c r="W97" i="12"/>
  <c r="X97" i="12" s="1"/>
  <c r="O96" i="12"/>
  <c r="V97" i="12"/>
  <c r="AB89" i="12"/>
  <c r="E89" i="12" s="1"/>
  <c r="M147" i="13" s="1"/>
  <c r="AI90" i="12"/>
  <c r="AJ90" i="12"/>
  <c r="AK90" i="12" s="1"/>
  <c r="AL89" i="12"/>
  <c r="L89" i="12" s="1"/>
  <c r="K89" i="12" s="1"/>
  <c r="H147" i="13" s="1"/>
  <c r="I147" i="13" s="1"/>
  <c r="I89" i="12"/>
  <c r="T100" i="15" s="1"/>
  <c r="J89" i="12"/>
  <c r="AG95" i="12" l="1"/>
  <c r="AD95" i="12"/>
  <c r="AF95" i="12"/>
  <c r="AE95" i="12"/>
  <c r="H95" i="12" s="1"/>
  <c r="AH95" i="12"/>
  <c r="AC96" i="12"/>
  <c r="AH96" i="12" s="1"/>
  <c r="G95" i="12"/>
  <c r="J106" i="15" s="1"/>
  <c r="BQ106" i="15" s="1"/>
  <c r="O11" i="9"/>
  <c r="P11" i="9"/>
  <c r="F18" i="15"/>
  <c r="G18" i="15" s="1"/>
  <c r="M12" i="9"/>
  <c r="D65" i="13"/>
  <c r="Y97" i="12"/>
  <c r="W98" i="12"/>
  <c r="X98" i="12" s="1"/>
  <c r="V98" i="12"/>
  <c r="O97" i="12"/>
  <c r="AI91" i="12"/>
  <c r="AB90" i="12"/>
  <c r="E90" i="12" s="1"/>
  <c r="M148" i="13" s="1"/>
  <c r="AJ91" i="12"/>
  <c r="AK91" i="12" s="1"/>
  <c r="AL90" i="12"/>
  <c r="L90" i="12" s="1"/>
  <c r="K90" i="12" s="1"/>
  <c r="H148" i="13" s="1"/>
  <c r="I148" i="13" s="1"/>
  <c r="J90" i="12"/>
  <c r="I90" i="12"/>
  <c r="T101" i="15" s="1"/>
  <c r="AE96" i="12"/>
  <c r="H96" i="12" s="1"/>
  <c r="F96" i="12" l="1"/>
  <c r="K154" i="13" s="1"/>
  <c r="AD96" i="12"/>
  <c r="G96" i="12" s="1"/>
  <c r="J107" i="15" s="1"/>
  <c r="BQ107" i="15" s="1"/>
  <c r="AG96" i="12"/>
  <c r="AF96" i="12"/>
  <c r="AC97" i="12"/>
  <c r="AE97" i="12" s="1"/>
  <c r="H97" i="12" s="1"/>
  <c r="E64" i="13"/>
  <c r="J64" i="13" s="1"/>
  <c r="P10" i="9"/>
  <c r="H11" i="7" s="1"/>
  <c r="E11" i="7" s="1"/>
  <c r="L63" i="13" s="1"/>
  <c r="F64" i="13"/>
  <c r="H12" i="7"/>
  <c r="E12" i="7" s="1"/>
  <c r="L64" i="13" s="1"/>
  <c r="BM18" i="15"/>
  <c r="BN18" i="15" s="1"/>
  <c r="BX18" i="15" s="1"/>
  <c r="BT18" i="15" s="1"/>
  <c r="BO18" i="15" s="1"/>
  <c r="BY18" i="15" s="1"/>
  <c r="BU18" i="15" s="1"/>
  <c r="W99" i="12"/>
  <c r="X99" i="12" s="1"/>
  <c r="V99" i="12"/>
  <c r="O98" i="12"/>
  <c r="AB91" i="12"/>
  <c r="E91" i="12" s="1"/>
  <c r="M149" i="13" s="1"/>
  <c r="AJ92" i="12"/>
  <c r="AK92" i="12" s="1"/>
  <c r="AI92" i="12"/>
  <c r="I91" i="12"/>
  <c r="T102" i="15" s="1"/>
  <c r="J91" i="12"/>
  <c r="AL91" i="12"/>
  <c r="L91" i="12" s="1"/>
  <c r="K91" i="12" s="1"/>
  <c r="H149" i="13" s="1"/>
  <c r="I149" i="13" s="1"/>
  <c r="AG97" i="12"/>
  <c r="AH97" i="12"/>
  <c r="Y98" i="12"/>
  <c r="AD97" i="12" l="1"/>
  <c r="G97" i="12" s="1"/>
  <c r="J108" i="15" s="1"/>
  <c r="BQ108" i="15" s="1"/>
  <c r="AF97" i="12"/>
  <c r="F97" i="12"/>
  <c r="K155" i="13" s="1"/>
  <c r="AC98" i="12"/>
  <c r="F98" i="12" s="1"/>
  <c r="K156" i="13" s="1"/>
  <c r="N64" i="13"/>
  <c r="N63" i="13"/>
  <c r="BP18" i="15"/>
  <c r="W100" i="12"/>
  <c r="X100" i="12" s="1"/>
  <c r="V100" i="12"/>
  <c r="O99" i="12"/>
  <c r="J92" i="12"/>
  <c r="AL92" i="12"/>
  <c r="L92" i="12" s="1"/>
  <c r="K92" i="12" s="1"/>
  <c r="H150" i="13" s="1"/>
  <c r="I150" i="13" s="1"/>
  <c r="I92" i="12"/>
  <c r="T103" i="15" s="1"/>
  <c r="AI93" i="12"/>
  <c r="AB92" i="12"/>
  <c r="E92" i="12" s="1"/>
  <c r="M150" i="13" s="1"/>
  <c r="AJ93" i="12"/>
  <c r="AK93" i="12" s="1"/>
  <c r="Y99" i="12"/>
  <c r="AE98" i="12" l="1"/>
  <c r="H98" i="12" s="1"/>
  <c r="AF98" i="12"/>
  <c r="AD98" i="12"/>
  <c r="AG98" i="12"/>
  <c r="AH98" i="12"/>
  <c r="AC99" i="12"/>
  <c r="AD99" i="12" s="1"/>
  <c r="G98" i="12"/>
  <c r="J109" i="15" s="1"/>
  <c r="BQ109" i="15" s="1"/>
  <c r="O64" i="13"/>
  <c r="BV18" i="15"/>
  <c r="BW18" i="15"/>
  <c r="BS18" i="15" s="1"/>
  <c r="W101" i="12"/>
  <c r="X101" i="12" s="1"/>
  <c r="O100" i="12"/>
  <c r="V101" i="12"/>
  <c r="J93" i="12"/>
  <c r="I93" i="12"/>
  <c r="T104" i="15" s="1"/>
  <c r="AL93" i="12"/>
  <c r="L93" i="12" s="1"/>
  <c r="K93" i="12" s="1"/>
  <c r="H151" i="13" s="1"/>
  <c r="I151" i="13" s="1"/>
  <c r="Y100" i="12"/>
  <c r="AI94" i="12"/>
  <c r="AJ94" i="12"/>
  <c r="AK94" i="12" s="1"/>
  <c r="AB93" i="12"/>
  <c r="E93" i="12" s="1"/>
  <c r="M151" i="13" s="1"/>
  <c r="F99" i="12" l="1"/>
  <c r="K157" i="13" s="1"/>
  <c r="AH99" i="12"/>
  <c r="AE99" i="12"/>
  <c r="H99" i="12" s="1"/>
  <c r="AF99" i="12"/>
  <c r="AG99" i="12"/>
  <c r="AC100" i="12"/>
  <c r="F100" i="12" s="1"/>
  <c r="K158" i="13" s="1"/>
  <c r="G99" i="12"/>
  <c r="J110" i="15" s="1"/>
  <c r="BQ110" i="15" s="1"/>
  <c r="BR18" i="15"/>
  <c r="K13" i="7" s="1"/>
  <c r="Y101" i="12"/>
  <c r="AB94" i="12"/>
  <c r="E94" i="12" s="1"/>
  <c r="M152" i="13" s="1"/>
  <c r="AJ95" i="12"/>
  <c r="AK95" i="12" s="1"/>
  <c r="AI95" i="12"/>
  <c r="W102" i="12"/>
  <c r="X102" i="12" s="1"/>
  <c r="V102" i="12"/>
  <c r="O101" i="12"/>
  <c r="AL94" i="12"/>
  <c r="L94" i="12" s="1"/>
  <c r="K94" i="12" s="1"/>
  <c r="H152" i="13" s="1"/>
  <c r="I152" i="13" s="1"/>
  <c r="I94" i="12"/>
  <c r="T105" i="15" s="1"/>
  <c r="J94" i="12"/>
  <c r="AE100" i="12"/>
  <c r="H100" i="12" s="1"/>
  <c r="AD100" i="12" l="1"/>
  <c r="AF100" i="12"/>
  <c r="AH100" i="12"/>
  <c r="AG100" i="12"/>
  <c r="AC101" i="12"/>
  <c r="AD101" i="12" s="1"/>
  <c r="G100" i="12"/>
  <c r="J111" i="15" s="1"/>
  <c r="BQ111" i="15" s="1"/>
  <c r="Y102" i="12"/>
  <c r="W103" i="12"/>
  <c r="X103" i="12" s="1"/>
  <c r="O102" i="12"/>
  <c r="V103" i="12"/>
  <c r="I95" i="12"/>
  <c r="T106" i="15" s="1"/>
  <c r="J95" i="12"/>
  <c r="AL95" i="12"/>
  <c r="L95" i="12" s="1"/>
  <c r="K95" i="12" s="1"/>
  <c r="H153" i="13" s="1"/>
  <c r="I153" i="13" s="1"/>
  <c r="AI96" i="12"/>
  <c r="AB95" i="12"/>
  <c r="E95" i="12" s="1"/>
  <c r="M153" i="13" s="1"/>
  <c r="AJ96" i="12"/>
  <c r="AK96" i="12" s="1"/>
  <c r="F101" i="12" l="1"/>
  <c r="K159" i="13" s="1"/>
  <c r="AH101" i="12"/>
  <c r="AE101" i="12"/>
  <c r="H101" i="12" s="1"/>
  <c r="AG101" i="12"/>
  <c r="AF101" i="12"/>
  <c r="AC102" i="12"/>
  <c r="AH102" i="12" s="1"/>
  <c r="G101" i="12"/>
  <c r="J112" i="15" s="1"/>
  <c r="BQ112" i="15" s="1"/>
  <c r="W104" i="12"/>
  <c r="X104" i="12" s="1"/>
  <c r="O103" i="12"/>
  <c r="V104" i="12"/>
  <c r="AB96" i="12"/>
  <c r="E96" i="12" s="1"/>
  <c r="M154" i="13" s="1"/>
  <c r="AI97" i="12"/>
  <c r="AJ97" i="12"/>
  <c r="AK97" i="12" s="1"/>
  <c r="J96" i="12"/>
  <c r="I96" i="12"/>
  <c r="T107" i="15" s="1"/>
  <c r="AL96" i="12"/>
  <c r="L96" i="12" s="1"/>
  <c r="K96" i="12" s="1"/>
  <c r="H154" i="13" s="1"/>
  <c r="I154" i="13" s="1"/>
  <c r="Y103" i="12"/>
  <c r="AG102" i="12" l="1"/>
  <c r="F102" i="12"/>
  <c r="K160" i="13" s="1"/>
  <c r="AE102" i="12"/>
  <c r="H102" i="12" s="1"/>
  <c r="AF102" i="12"/>
  <c r="AD102" i="12"/>
  <c r="G102" i="12" s="1"/>
  <c r="J113" i="15" s="1"/>
  <c r="BQ113" i="15" s="1"/>
  <c r="AC103" i="12"/>
  <c r="AG103" i="12" s="1"/>
  <c r="Y104" i="12"/>
  <c r="W105" i="12"/>
  <c r="X105" i="12" s="1"/>
  <c r="O105" i="12" s="1"/>
  <c r="V105" i="12"/>
  <c r="O104" i="12"/>
  <c r="AL97" i="12"/>
  <c r="L97" i="12" s="1"/>
  <c r="K97" i="12" s="1"/>
  <c r="H155" i="13" s="1"/>
  <c r="I155" i="13" s="1"/>
  <c r="J97" i="12"/>
  <c r="I97" i="12"/>
  <c r="T108" i="15" s="1"/>
  <c r="AI98" i="12"/>
  <c r="AJ98" i="12"/>
  <c r="AK98" i="12" s="1"/>
  <c r="AB97" i="12"/>
  <c r="E97" i="12" s="1"/>
  <c r="M155" i="13" s="1"/>
  <c r="AH103" i="12" l="1"/>
  <c r="F103" i="12"/>
  <c r="K161" i="13" s="1"/>
  <c r="AF103" i="12"/>
  <c r="AD103" i="12"/>
  <c r="AE103" i="12"/>
  <c r="H103" i="12" s="1"/>
  <c r="AC104" i="12"/>
  <c r="F104" i="12" s="1"/>
  <c r="K162" i="13" s="1"/>
  <c r="AC105" i="12"/>
  <c r="AH105" i="12" s="1"/>
  <c r="G103" i="12"/>
  <c r="J114" i="15" s="1"/>
  <c r="BQ114" i="15" s="1"/>
  <c r="AB98" i="12"/>
  <c r="E98" i="12" s="1"/>
  <c r="M156" i="13" s="1"/>
  <c r="AI99" i="12"/>
  <c r="AJ99" i="12"/>
  <c r="AK99" i="12" s="1"/>
  <c r="AL98" i="12"/>
  <c r="L98" i="12" s="1"/>
  <c r="K98" i="12" s="1"/>
  <c r="H156" i="13" s="1"/>
  <c r="I156" i="13" s="1"/>
  <c r="I98" i="12"/>
  <c r="T109" i="15" s="1"/>
  <c r="J98" i="12"/>
  <c r="Y105" i="12"/>
  <c r="AE105" i="12" l="1"/>
  <c r="H105" i="12" s="1"/>
  <c r="AG105" i="12"/>
  <c r="AD105" i="12"/>
  <c r="F105" i="12"/>
  <c r="K163" i="13" s="1"/>
  <c r="AF105" i="12"/>
  <c r="AG104" i="12"/>
  <c r="AD104" i="12"/>
  <c r="G104" i="12" s="1"/>
  <c r="J115" i="15" s="1"/>
  <c r="BQ115" i="15" s="1"/>
  <c r="AE104" i="12"/>
  <c r="H104" i="12" s="1"/>
  <c r="AF104" i="12"/>
  <c r="AH104" i="12"/>
  <c r="G105" i="12"/>
  <c r="J116" i="15" s="1"/>
  <c r="BQ116" i="15" s="1"/>
  <c r="AL99" i="12"/>
  <c r="L99" i="12" s="1"/>
  <c r="K99" i="12" s="1"/>
  <c r="H157" i="13" s="1"/>
  <c r="I157" i="13" s="1"/>
  <c r="J99" i="12"/>
  <c r="I99" i="12"/>
  <c r="T110" i="15" s="1"/>
  <c r="AB99" i="12"/>
  <c r="E99" i="12" s="1"/>
  <c r="M157" i="13" s="1"/>
  <c r="AJ100" i="12"/>
  <c r="AK100" i="12" s="1"/>
  <c r="AI100" i="12"/>
  <c r="J100" i="12" l="1"/>
  <c r="I100" i="12"/>
  <c r="T111" i="15" s="1"/>
  <c r="AL100" i="12"/>
  <c r="L100" i="12" s="1"/>
  <c r="K100" i="12" s="1"/>
  <c r="H158" i="13" s="1"/>
  <c r="I158" i="13" s="1"/>
  <c r="AI101" i="12"/>
  <c r="AB100" i="12"/>
  <c r="E100" i="12" s="1"/>
  <c r="M158" i="13" s="1"/>
  <c r="AJ101" i="12"/>
  <c r="AK101" i="12" s="1"/>
  <c r="AI102" i="12" l="1"/>
  <c r="AJ102" i="12"/>
  <c r="AK102" i="12" s="1"/>
  <c r="AB101" i="12"/>
  <c r="E101" i="12" s="1"/>
  <c r="M159" i="13" s="1"/>
  <c r="I101" i="12"/>
  <c r="T112" i="15" s="1"/>
  <c r="J101" i="12"/>
  <c r="AL101" i="12"/>
  <c r="L101" i="12" s="1"/>
  <c r="K101" i="12" s="1"/>
  <c r="H159" i="13" s="1"/>
  <c r="I159" i="13" s="1"/>
  <c r="AB102" i="12" l="1"/>
  <c r="E102" i="12" s="1"/>
  <c r="M160" i="13" s="1"/>
  <c r="AJ103" i="12"/>
  <c r="AK103" i="12" s="1"/>
  <c r="AI103" i="12"/>
  <c r="I102" i="12"/>
  <c r="T113" i="15" s="1"/>
  <c r="AL102" i="12"/>
  <c r="L102" i="12" s="1"/>
  <c r="K102" i="12" s="1"/>
  <c r="H160" i="13" s="1"/>
  <c r="I160" i="13" s="1"/>
  <c r="J102" i="12"/>
  <c r="AL103" i="12" l="1"/>
  <c r="L103" i="12" s="1"/>
  <c r="K103" i="12" s="1"/>
  <c r="H161" i="13" s="1"/>
  <c r="I161" i="13" s="1"/>
  <c r="I103" i="12"/>
  <c r="T114" i="15" s="1"/>
  <c r="J103" i="12"/>
  <c r="AI104" i="12"/>
  <c r="AB103" i="12"/>
  <c r="E103" i="12" s="1"/>
  <c r="M161" i="13" s="1"/>
  <c r="AJ104" i="12"/>
  <c r="AK104" i="12" s="1"/>
  <c r="AI105" i="12" l="1"/>
  <c r="AB104" i="12"/>
  <c r="E104" i="12" s="1"/>
  <c r="M162" i="13" s="1"/>
  <c r="AJ105" i="12"/>
  <c r="AK105" i="12" s="1"/>
  <c r="AB105" i="12" s="1"/>
  <c r="E105" i="12" s="1"/>
  <c r="M163" i="13" s="1"/>
  <c r="I104" i="12"/>
  <c r="T115" i="15" s="1"/>
  <c r="AL104" i="12"/>
  <c r="L104" i="12" s="1"/>
  <c r="K104" i="12" s="1"/>
  <c r="H162" i="13" s="1"/>
  <c r="I162" i="13" s="1"/>
  <c r="J104" i="12"/>
  <c r="AL105" i="12" l="1"/>
  <c r="L105" i="12" s="1"/>
  <c r="K105" i="12" s="1"/>
  <c r="H163" i="13" s="1"/>
  <c r="I163" i="13" s="1"/>
  <c r="I105" i="12"/>
  <c r="T116" i="15" s="1"/>
  <c r="J105" i="12"/>
  <c r="N13" i="7" l="1"/>
  <c r="AZ13" i="7" s="1"/>
  <c r="BA13" i="7" l="1"/>
  <c r="AX14" i="7" s="1"/>
  <c r="BC13" i="7"/>
  <c r="N18" i="15"/>
  <c r="O18" i="15" s="1"/>
  <c r="M13" i="7"/>
  <c r="AW14" i="7" l="1"/>
  <c r="BB14" i="7" s="1"/>
  <c r="AB13" i="7"/>
  <c r="AJ13" i="7"/>
  <c r="AK13" i="7" s="1"/>
  <c r="L13" i="7"/>
  <c r="T13" i="7" s="1"/>
  <c r="AR13" i="7"/>
  <c r="AY14" i="7" l="1"/>
  <c r="AS13" i="7"/>
  <c r="I13" i="7" s="1"/>
  <c r="AU13" i="7"/>
  <c r="AC13" i="7"/>
  <c r="Z14" i="7" s="1"/>
  <c r="AE13" i="7"/>
  <c r="Q13" i="7" s="1"/>
  <c r="I18" i="15" s="1"/>
  <c r="K18" i="15" s="1"/>
  <c r="G13" i="7"/>
  <c r="AH14" i="7"/>
  <c r="AG14" i="7"/>
  <c r="AL14" i="7" s="1"/>
  <c r="AP14" i="7" l="1"/>
  <c r="AO14" i="7"/>
  <c r="AT14" i="7" s="1"/>
  <c r="Y14" i="7"/>
  <c r="AD14" i="7" s="1"/>
  <c r="Q18" i="15"/>
  <c r="AI14" i="7"/>
  <c r="AM14" i="7" s="1"/>
  <c r="AQ14" i="7" l="1"/>
  <c r="AA14" i="7"/>
  <c r="L12" i="9"/>
  <c r="R18" i="15"/>
  <c r="AZ18" i="15" l="1"/>
  <c r="AR18" i="15"/>
  <c r="AW18" i="15"/>
  <c r="AS18" i="15"/>
  <c r="AT18" i="15"/>
  <c r="AX18" i="15"/>
  <c r="AY18" i="15"/>
  <c r="AV18" i="15"/>
  <c r="AU18" i="15"/>
  <c r="AQ18" i="15" l="1"/>
  <c r="S18" i="15" s="1"/>
  <c r="U18" i="15" s="1"/>
  <c r="V18" i="15" l="1"/>
  <c r="W18" i="15"/>
  <c r="BF18" i="15" l="1"/>
  <c r="BE18" i="15"/>
  <c r="BK18" i="15"/>
  <c r="BG18" i="15"/>
  <c r="BI18" i="15"/>
  <c r="BH18" i="15"/>
  <c r="BD18" i="15"/>
  <c r="BJ18" i="15"/>
  <c r="BC18" i="15"/>
  <c r="AG18" i="15"/>
  <c r="AE18" i="15"/>
  <c r="AN18" i="15"/>
  <c r="AO18" i="15"/>
  <c r="AJ18" i="15"/>
  <c r="AI18" i="15"/>
  <c r="AF18" i="15"/>
  <c r="AD18" i="15"/>
  <c r="AK18" i="15"/>
  <c r="AH18" i="15"/>
  <c r="AL18" i="15"/>
  <c r="AC18" i="15" l="1"/>
  <c r="BB18" i="15"/>
  <c r="L18" i="15" s="1"/>
  <c r="U13" i="7" s="1"/>
  <c r="V13" i="7" s="1"/>
  <c r="AA18" i="15" l="1"/>
  <c r="N12" i="9"/>
  <c r="F13" i="7"/>
  <c r="W14" i="7"/>
  <c r="S14" i="7"/>
  <c r="P14" i="7" s="1"/>
  <c r="P12" i="9" l="1"/>
  <c r="O12" i="9"/>
  <c r="E65" i="13" s="1"/>
  <c r="J65" i="13" s="1"/>
  <c r="F19" i="15"/>
  <c r="G19" i="15" s="1"/>
  <c r="D66" i="13"/>
  <c r="M13" i="9"/>
  <c r="BM19" i="15" l="1"/>
  <c r="BN19" i="15" s="1"/>
  <c r="BX19" i="15" s="1"/>
  <c r="BT19" i="15" s="1"/>
  <c r="BO19" i="15" s="1"/>
  <c r="BY19" i="15" s="1"/>
  <c r="BU19" i="15" s="1"/>
  <c r="F65" i="13"/>
  <c r="H13" i="7"/>
  <c r="E13" i="7" s="1"/>
  <c r="L65" i="13" s="1"/>
  <c r="N65" i="13" s="1"/>
  <c r="O65" i="13" s="1"/>
  <c r="BP19" i="15" l="1"/>
  <c r="BW19" i="15" l="1"/>
  <c r="BS19" i="15" s="1"/>
  <c r="BV19" i="15"/>
  <c r="BR19" i="15" l="1"/>
  <c r="K14" i="7" s="1"/>
  <c r="N14" i="7" s="1"/>
  <c r="N19" i="15" l="1"/>
  <c r="O19" i="15" s="1"/>
  <c r="AZ14" i="7"/>
  <c r="AR14" i="7"/>
  <c r="M14" i="7"/>
  <c r="AB14" i="7" l="1"/>
  <c r="AJ14" i="7"/>
  <c r="AK14" i="7" s="1"/>
  <c r="L14" i="7"/>
  <c r="T14" i="7" s="1"/>
  <c r="BA14" i="7"/>
  <c r="BC14" i="7"/>
  <c r="AS14" i="7"/>
  <c r="AU14" i="7"/>
  <c r="I14" i="7" l="1"/>
  <c r="AO15" i="7"/>
  <c r="AT15" i="7" s="1"/>
  <c r="AP15" i="7"/>
  <c r="AW15" i="7"/>
  <c r="BB15" i="7" s="1"/>
  <c r="AX15" i="7"/>
  <c r="AH15" i="7"/>
  <c r="AG15" i="7"/>
  <c r="AL15" i="7" s="1"/>
  <c r="AC14" i="7"/>
  <c r="AE14" i="7"/>
  <c r="Q14" i="7" s="1"/>
  <c r="I19" i="15" s="1"/>
  <c r="K19" i="15" s="1"/>
  <c r="AY15" i="7" l="1"/>
  <c r="AQ15" i="7"/>
  <c r="AI15" i="7"/>
  <c r="AM15" i="7" s="1"/>
  <c r="Q19" i="15"/>
  <c r="Z15" i="7"/>
  <c r="Y15" i="7"/>
  <c r="AD15" i="7" s="1"/>
  <c r="G14" i="7"/>
  <c r="R19" i="15" l="1"/>
  <c r="L13" i="9"/>
  <c r="AA15" i="7"/>
  <c r="AR19" i="15" l="1"/>
  <c r="AS19" i="15"/>
  <c r="AZ19" i="15"/>
  <c r="AW19" i="15"/>
  <c r="AT19" i="15"/>
  <c r="AU19" i="15"/>
  <c r="AV19" i="15"/>
  <c r="AY19" i="15"/>
  <c r="AX19" i="15"/>
  <c r="AQ19" i="15" l="1"/>
  <c r="S19" i="15" s="1"/>
  <c r="U19" i="15" s="1"/>
  <c r="V19" i="15" l="1"/>
  <c r="W19" i="15"/>
  <c r="BK19" i="15" l="1"/>
  <c r="BI19" i="15"/>
  <c r="BD19" i="15"/>
  <c r="BE19" i="15"/>
  <c r="BG19" i="15"/>
  <c r="BC19" i="15"/>
  <c r="BF19" i="15"/>
  <c r="BJ19" i="15"/>
  <c r="BH19" i="15"/>
  <c r="AH19" i="15"/>
  <c r="AJ19" i="15"/>
  <c r="AK19" i="15"/>
  <c r="AD19" i="15"/>
  <c r="AE19" i="15"/>
  <c r="AI19" i="15"/>
  <c r="AF19" i="15"/>
  <c r="AL19" i="15"/>
  <c r="AG19" i="15"/>
  <c r="AO19" i="15"/>
  <c r="AN19" i="15"/>
  <c r="BB19" i="15" l="1"/>
  <c r="L19" i="15" s="1"/>
  <c r="U14" i="7" s="1"/>
  <c r="V14" i="7" s="1"/>
  <c r="AC19" i="15"/>
  <c r="AA19" i="15" l="1"/>
  <c r="N13" i="9" s="1"/>
  <c r="P13" i="9" s="1"/>
  <c r="W15" i="7"/>
  <c r="F14" i="7"/>
  <c r="S15" i="7"/>
  <c r="P15" i="7" s="1"/>
  <c r="O13" i="9" l="1"/>
  <c r="E66" i="13" s="1"/>
  <c r="J66" i="13" s="1"/>
  <c r="D67" i="13"/>
  <c r="F20" i="15"/>
  <c r="G20" i="15" s="1"/>
  <c r="M14" i="9"/>
  <c r="F66" i="13"/>
  <c r="H14" i="7"/>
  <c r="E14" i="7" s="1"/>
  <c r="L66" i="13" s="1"/>
  <c r="N66" i="13" s="1"/>
  <c r="O66" i="13" s="1"/>
  <c r="BM20" i="15" l="1"/>
  <c r="BN20" i="15" s="1"/>
  <c r="BX20" i="15" s="1"/>
  <c r="BT20" i="15" s="1"/>
  <c r="BO20" i="15" s="1"/>
  <c r="BY20" i="15" s="1"/>
  <c r="BU20" i="15" s="1"/>
  <c r="BP20" i="15" l="1"/>
  <c r="BV20" i="15" l="1"/>
  <c r="BW20" i="15"/>
  <c r="BS20" i="15" s="1"/>
  <c r="BR20" i="15" l="1"/>
  <c r="K15" i="7" s="1"/>
  <c r="N15" i="7" s="1"/>
  <c r="N20" i="15" l="1"/>
  <c r="O20" i="15" s="1"/>
  <c r="AZ15" i="7"/>
  <c r="AR15" i="7"/>
  <c r="M15" i="7"/>
  <c r="AJ15" i="7" l="1"/>
  <c r="AK15" i="7" s="1"/>
  <c r="AB15" i="7"/>
  <c r="L15" i="7"/>
  <c r="T15" i="7" s="1"/>
  <c r="BA15" i="7"/>
  <c r="BC15" i="7"/>
  <c r="AS15" i="7"/>
  <c r="AU15" i="7"/>
  <c r="I15" i="7" l="1"/>
  <c r="AP16" i="7"/>
  <c r="AO16" i="7"/>
  <c r="AT16" i="7" s="1"/>
  <c r="AX16" i="7"/>
  <c r="AW16" i="7"/>
  <c r="BB16" i="7" s="1"/>
  <c r="AC15" i="7"/>
  <c r="AE15" i="7"/>
  <c r="Q15" i="7" s="1"/>
  <c r="I20" i="15" s="1"/>
  <c r="K20" i="15" s="1"/>
  <c r="AG16" i="7"/>
  <c r="AL16" i="7" s="1"/>
  <c r="AH16" i="7"/>
  <c r="AY16" i="7" l="1"/>
  <c r="AI16" i="7"/>
  <c r="AM16" i="7" s="1"/>
  <c r="Q20" i="15"/>
  <c r="Z16" i="7"/>
  <c r="G15" i="7"/>
  <c r="Y16" i="7"/>
  <c r="AD16" i="7" s="1"/>
  <c r="AQ16" i="7"/>
  <c r="AA16" i="7" l="1"/>
  <c r="L14" i="9"/>
  <c r="R20" i="15"/>
  <c r="AV20" i="15" l="1"/>
  <c r="AW20" i="15"/>
  <c r="AY20" i="15"/>
  <c r="AR20" i="15"/>
  <c r="AU20" i="15"/>
  <c r="AX20" i="15"/>
  <c r="AS20" i="15"/>
  <c r="AZ20" i="15"/>
  <c r="AT20" i="15"/>
  <c r="AQ20" i="15" l="1"/>
  <c r="S20" i="15" s="1"/>
  <c r="U20" i="15" s="1"/>
  <c r="V20" i="15" l="1"/>
  <c r="W20" i="15"/>
  <c r="BF20" i="15" l="1"/>
  <c r="BG20" i="15"/>
  <c r="BI20" i="15"/>
  <c r="BJ20" i="15"/>
  <c r="BH20" i="15"/>
  <c r="BD20" i="15"/>
  <c r="BC20" i="15"/>
  <c r="BE20" i="15"/>
  <c r="BK20" i="15"/>
  <c r="AL20" i="15"/>
  <c r="AH20" i="15"/>
  <c r="AE20" i="15"/>
  <c r="AF20" i="15"/>
  <c r="AG20" i="15"/>
  <c r="AO20" i="15"/>
  <c r="AN20" i="15"/>
  <c r="AK20" i="15"/>
  <c r="AI20" i="15"/>
  <c r="AD20" i="15"/>
  <c r="AJ20" i="15"/>
  <c r="AC20" i="15" l="1"/>
  <c r="BB20" i="15"/>
  <c r="L20" i="15" s="1"/>
  <c r="U15" i="7" s="1"/>
  <c r="V15" i="7" s="1"/>
  <c r="AA20" i="15" l="1"/>
  <c r="N14" i="9" s="1"/>
  <c r="F15" i="7"/>
  <c r="S16" i="7"/>
  <c r="P16" i="7" s="1"/>
  <c r="W16" i="7"/>
  <c r="P14" i="9" l="1"/>
  <c r="O14" i="9"/>
  <c r="E67" i="13" s="1"/>
  <c r="J67" i="13" s="1"/>
  <c r="D68" i="13"/>
  <c r="M15" i="9"/>
  <c r="F21" i="15"/>
  <c r="G21" i="15" s="1"/>
  <c r="BM21" i="15" l="1"/>
  <c r="BN21" i="15" s="1"/>
  <c r="BX21" i="15" s="1"/>
  <c r="BT21" i="15" s="1"/>
  <c r="BO21" i="15" s="1"/>
  <c r="BY21" i="15" s="1"/>
  <c r="BU21" i="15" s="1"/>
  <c r="F67" i="13"/>
  <c r="H15" i="7"/>
  <c r="E15" i="7" s="1"/>
  <c r="L67" i="13" s="1"/>
  <c r="N67" i="13" s="1"/>
  <c r="O67" i="13" s="1"/>
  <c r="BP21" i="15" l="1"/>
  <c r="BV21" i="15" l="1"/>
  <c r="BW21" i="15"/>
  <c r="BS21" i="15" s="1"/>
  <c r="BR21" i="15" l="1"/>
  <c r="K16" i="7" s="1"/>
  <c r="N16" i="7" s="1"/>
  <c r="M16" i="7" l="1"/>
  <c r="N21" i="15"/>
  <c r="O21" i="15" s="1"/>
  <c r="AZ16" i="7"/>
  <c r="AR16" i="7"/>
  <c r="BA16" i="7" l="1"/>
  <c r="BC16" i="7"/>
  <c r="AS16" i="7"/>
  <c r="AU16" i="7"/>
  <c r="AJ16" i="7"/>
  <c r="AK16" i="7" s="1"/>
  <c r="AB16" i="7"/>
  <c r="L16" i="7"/>
  <c r="T16" i="7" s="1"/>
  <c r="AG17" i="7" l="1"/>
  <c r="AL17" i="7" s="1"/>
  <c r="AH17" i="7"/>
  <c r="AP17" i="7"/>
  <c r="AO17" i="7"/>
  <c r="AT17" i="7" s="1"/>
  <c r="AC16" i="7"/>
  <c r="AE16" i="7"/>
  <c r="Q16" i="7" s="1"/>
  <c r="I21" i="15" s="1"/>
  <c r="K21" i="15" s="1"/>
  <c r="I16" i="7"/>
  <c r="AW17" i="7"/>
  <c r="BB17" i="7" s="1"/>
  <c r="AX17" i="7"/>
  <c r="AQ17" i="7" l="1"/>
  <c r="G16" i="7"/>
  <c r="Y17" i="7"/>
  <c r="AD17" i="7" s="1"/>
  <c r="Z17" i="7"/>
  <c r="AY17" i="7"/>
  <c r="AI17" i="7"/>
  <c r="AM17" i="7" s="1"/>
  <c r="W21" i="15"/>
  <c r="Q21" i="15"/>
  <c r="AA17" i="7" l="1"/>
  <c r="R21" i="15"/>
  <c r="L15" i="9"/>
  <c r="BD21" i="15"/>
  <c r="BG21" i="15"/>
  <c r="BE21" i="15"/>
  <c r="BH21" i="15"/>
  <c r="BI21" i="15"/>
  <c r="BC21" i="15"/>
  <c r="BK21" i="15"/>
  <c r="BJ21" i="15"/>
  <c r="BF21" i="15"/>
  <c r="AZ21" i="15" l="1"/>
  <c r="AX21" i="15"/>
  <c r="AW21" i="15"/>
  <c r="AS21" i="15"/>
  <c r="AT21" i="15"/>
  <c r="AY21" i="15"/>
  <c r="AU21" i="15"/>
  <c r="AR21" i="15"/>
  <c r="AV21" i="15"/>
  <c r="BB21" i="15"/>
  <c r="L21" i="15" s="1"/>
  <c r="U16" i="7" s="1"/>
  <c r="V16" i="7" s="1"/>
  <c r="AQ21" i="15" l="1"/>
  <c r="S21" i="15" s="1"/>
  <c r="U21" i="15" s="1"/>
  <c r="V21" i="15" s="1"/>
  <c r="AO21" i="15" s="1"/>
  <c r="S17" i="7"/>
  <c r="P17" i="7" s="1"/>
  <c r="F16" i="7"/>
  <c r="W17" i="7"/>
  <c r="AF21" i="15" l="1"/>
  <c r="AG21" i="15"/>
  <c r="AD21" i="15"/>
  <c r="AJ21" i="15"/>
  <c r="AE21" i="15"/>
  <c r="AK21" i="15"/>
  <c r="AI21" i="15"/>
  <c r="AN21" i="15"/>
  <c r="AH21" i="15"/>
  <c r="AL21" i="15"/>
  <c r="M16" i="9"/>
  <c r="F22" i="15"/>
  <c r="G22" i="15" s="1"/>
  <c r="D69" i="13"/>
  <c r="AC21" i="15" l="1"/>
  <c r="AA21" i="15" s="1"/>
  <c r="BM22" i="15"/>
  <c r="BN22" i="15" s="1"/>
  <c r="BX22" i="15" s="1"/>
  <c r="BT22" i="15" s="1"/>
  <c r="BO22" i="15" s="1"/>
  <c r="BY22" i="15" s="1"/>
  <c r="BU22" i="15" s="1"/>
  <c r="N15" i="9" l="1"/>
  <c r="BP22" i="15"/>
  <c r="P15" i="9" l="1"/>
  <c r="O15" i="9"/>
  <c r="E68" i="13" s="1"/>
  <c r="J68" i="13" s="1"/>
  <c r="BV22" i="15"/>
  <c r="BW22" i="15"/>
  <c r="BS22" i="15" s="1"/>
  <c r="BR22" i="15" s="1"/>
  <c r="K17" i="7" s="1"/>
  <c r="H16" i="7" l="1"/>
  <c r="E16" i="7" s="1"/>
  <c r="L68" i="13" s="1"/>
  <c r="N68" i="13" s="1"/>
  <c r="O68" i="13" s="1"/>
  <c r="F68" i="13"/>
  <c r="N17" i="7"/>
  <c r="M17" i="7" s="1"/>
  <c r="AB17" i="7" l="1"/>
  <c r="AJ17" i="7"/>
  <c r="AK17" i="7" s="1"/>
  <c r="N22" i="15"/>
  <c r="O22" i="15" s="1"/>
  <c r="AR17" i="7"/>
  <c r="AZ17" i="7"/>
  <c r="L17" i="7"/>
  <c r="T17" i="7" s="1"/>
  <c r="BA17" i="7" l="1"/>
  <c r="BC17" i="7"/>
  <c r="AS17" i="7"/>
  <c r="AU17" i="7"/>
  <c r="AG18" i="7"/>
  <c r="AL18" i="7" s="1"/>
  <c r="AH18" i="7"/>
  <c r="AC17" i="7"/>
  <c r="AE17" i="7"/>
  <c r="Q17" i="7" s="1"/>
  <c r="I22" i="15" s="1"/>
  <c r="K22" i="15" s="1"/>
  <c r="G17" i="7" l="1"/>
  <c r="Z18" i="7"/>
  <c r="Y18" i="7"/>
  <c r="AD18" i="7" s="1"/>
  <c r="AO18" i="7"/>
  <c r="AT18" i="7" s="1"/>
  <c r="AP18" i="7"/>
  <c r="I17" i="7"/>
  <c r="AI18" i="7"/>
  <c r="AM18" i="7" s="1"/>
  <c r="W22" i="15"/>
  <c r="Q22" i="15"/>
  <c r="AX18" i="7"/>
  <c r="AW18" i="7"/>
  <c r="BB18" i="7" s="1"/>
  <c r="AA18" i="7" l="1"/>
  <c r="R22" i="15"/>
  <c r="L16" i="9"/>
  <c r="BC22" i="15"/>
  <c r="BF22" i="15"/>
  <c r="BK22" i="15"/>
  <c r="BD22" i="15"/>
  <c r="BG22" i="15"/>
  <c r="BJ22" i="15"/>
  <c r="BE22" i="15"/>
  <c r="BH22" i="15"/>
  <c r="BI22" i="15"/>
  <c r="AY18" i="7"/>
  <c r="AQ18" i="7"/>
  <c r="BB22" i="15" l="1"/>
  <c r="L22" i="15" s="1"/>
  <c r="U17" i="7" s="1"/>
  <c r="V17" i="7" s="1"/>
  <c r="AY22" i="15"/>
  <c r="AU22" i="15"/>
  <c r="AX22" i="15"/>
  <c r="AR22" i="15"/>
  <c r="AS22" i="15"/>
  <c r="AV22" i="15"/>
  <c r="AZ22" i="15"/>
  <c r="AW22" i="15"/>
  <c r="AT22" i="15"/>
  <c r="F17" i="7" l="1"/>
  <c r="S18" i="7"/>
  <c r="P18" i="7" s="1"/>
  <c r="W18" i="7"/>
  <c r="AQ22" i="15"/>
  <c r="S22" i="15" s="1"/>
  <c r="U22" i="15" s="1"/>
  <c r="V22" i="15" s="1"/>
  <c r="AG22" i="15" l="1"/>
  <c r="AF22" i="15"/>
  <c r="AK22" i="15"/>
  <c r="AE22" i="15"/>
  <c r="AD22" i="15"/>
  <c r="AO22" i="15"/>
  <c r="AN22" i="15"/>
  <c r="AH22" i="15"/>
  <c r="AJ22" i="15"/>
  <c r="AI22" i="15"/>
  <c r="AL22" i="15"/>
  <c r="D70" i="13"/>
  <c r="M17" i="9"/>
  <c r="F23" i="15"/>
  <c r="G23" i="15" s="1"/>
  <c r="BM23" i="15" l="1"/>
  <c r="BN23" i="15" s="1"/>
  <c r="BX23" i="15" s="1"/>
  <c r="BT23" i="15" s="1"/>
  <c r="BO23" i="15" s="1"/>
  <c r="BY23" i="15" s="1"/>
  <c r="BU23" i="15" s="1"/>
  <c r="AC22" i="15"/>
  <c r="AA22" i="15" s="1"/>
  <c r="N16" i="9" l="1"/>
  <c r="BP23" i="15"/>
  <c r="O16" i="9" l="1"/>
  <c r="E69" i="13" s="1"/>
  <c r="J69" i="13" s="1"/>
  <c r="P16" i="9"/>
  <c r="F69" i="13" s="1"/>
  <c r="BV23" i="15"/>
  <c r="BW23" i="15"/>
  <c r="BS23" i="15" s="1"/>
  <c r="H17" i="7" l="1"/>
  <c r="E17" i="7" s="1"/>
  <c r="L69" i="13" s="1"/>
  <c r="N69" i="13" s="1"/>
  <c r="O69" i="13" s="1"/>
  <c r="BR23" i="15"/>
  <c r="K18" i="7" s="1"/>
  <c r="N18" i="7" s="1"/>
  <c r="N23" i="15" s="1"/>
  <c r="O23" i="15" s="1"/>
  <c r="M18" i="7" l="1"/>
  <c r="AR18" i="7"/>
  <c r="AZ18" i="7"/>
  <c r="AS18" i="7" l="1"/>
  <c r="AU18" i="7"/>
  <c r="BA18" i="7"/>
  <c r="BC18" i="7"/>
  <c r="AJ18" i="7"/>
  <c r="AK18" i="7" s="1"/>
  <c r="AB18" i="7"/>
  <c r="L18" i="7"/>
  <c r="T18" i="7" s="1"/>
  <c r="AH19" i="7" l="1"/>
  <c r="AG19" i="7"/>
  <c r="AL19" i="7" s="1"/>
  <c r="AC18" i="7"/>
  <c r="AE18" i="7"/>
  <c r="Q18" i="7" s="1"/>
  <c r="I23" i="15" s="1"/>
  <c r="K23" i="15" s="1"/>
  <c r="AW19" i="7"/>
  <c r="BB19" i="7" s="1"/>
  <c r="AX19" i="7"/>
  <c r="AO19" i="7"/>
  <c r="AT19" i="7" s="1"/>
  <c r="AP19" i="7"/>
  <c r="I18" i="7"/>
  <c r="AY19" i="7" l="1"/>
  <c r="W23" i="15"/>
  <c r="Q23" i="15"/>
  <c r="AQ19" i="7"/>
  <c r="G18" i="7"/>
  <c r="Y19" i="7"/>
  <c r="AD19" i="7" s="1"/>
  <c r="Z19" i="7"/>
  <c r="AI19" i="7"/>
  <c r="AM19" i="7" s="1"/>
  <c r="AA19" i="7" l="1"/>
  <c r="R23" i="15"/>
  <c r="L17" i="9"/>
  <c r="BE23" i="15"/>
  <c r="BG23" i="15"/>
  <c r="BD23" i="15"/>
  <c r="BH23" i="15"/>
  <c r="BJ23" i="15"/>
  <c r="BI23" i="15"/>
  <c r="BC23" i="15"/>
  <c r="BF23" i="15"/>
  <c r="BK23" i="15"/>
  <c r="BB23" i="15" l="1"/>
  <c r="L23" i="15" s="1"/>
  <c r="U18" i="7" s="1"/>
  <c r="V18" i="7" s="1"/>
  <c r="AW23" i="15"/>
  <c r="AU23" i="15"/>
  <c r="AY23" i="15"/>
  <c r="AX23" i="15"/>
  <c r="AS23" i="15"/>
  <c r="AZ23" i="15"/>
  <c r="AT23" i="15"/>
  <c r="AR23" i="15"/>
  <c r="AV23" i="15"/>
  <c r="AQ23" i="15" l="1"/>
  <c r="S23" i="15" s="1"/>
  <c r="U23" i="15" s="1"/>
  <c r="V23" i="15" s="1"/>
  <c r="W19" i="7"/>
  <c r="S19" i="7"/>
  <c r="P19" i="7" s="1"/>
  <c r="F18" i="7"/>
  <c r="F24" i="15" l="1"/>
  <c r="G24" i="15" s="1"/>
  <c r="M18" i="9"/>
  <c r="D71" i="13"/>
  <c r="AH23" i="15"/>
  <c r="AI23" i="15"/>
  <c r="AL23" i="15"/>
  <c r="AJ23" i="15"/>
  <c r="AD23" i="15"/>
  <c r="AE23" i="15"/>
  <c r="AK23" i="15"/>
  <c r="AN23" i="15"/>
  <c r="AF23" i="15"/>
  <c r="AO23" i="15"/>
  <c r="AG23" i="15"/>
  <c r="AC23" i="15" l="1"/>
  <c r="AA23" i="15" s="1"/>
  <c r="BM24" i="15"/>
  <c r="BN24" i="15" s="1"/>
  <c r="BX24" i="15" s="1"/>
  <c r="BT24" i="15" s="1"/>
  <c r="BO24" i="15" s="1"/>
  <c r="BY24" i="15" s="1"/>
  <c r="BU24" i="15" s="1"/>
  <c r="N17" i="9" l="1"/>
  <c r="BP24" i="15"/>
  <c r="P17" i="9" l="1"/>
  <c r="F70" i="13" s="1"/>
  <c r="O17" i="9"/>
  <c r="E70" i="13" s="1"/>
  <c r="J70" i="13" s="1"/>
  <c r="BV24" i="15"/>
  <c r="BW24" i="15"/>
  <c r="BS24" i="15" s="1"/>
  <c r="BR24" i="15" s="1"/>
  <c r="K19" i="7" s="1"/>
  <c r="H18" i="7" l="1"/>
  <c r="E18" i="7" s="1"/>
  <c r="L70" i="13" s="1"/>
  <c r="N70" i="13" s="1"/>
  <c r="O70" i="13" s="1"/>
  <c r="N19" i="7"/>
  <c r="M19" i="7" s="1"/>
  <c r="AJ19" i="7" l="1"/>
  <c r="AK19" i="7" s="1"/>
  <c r="AB19" i="7"/>
  <c r="L19" i="7"/>
  <c r="T19" i="7" s="1"/>
  <c r="N24" i="15"/>
  <c r="O24" i="15" s="1"/>
  <c r="AZ19" i="7"/>
  <c r="AR19" i="7"/>
  <c r="AS19" i="7" l="1"/>
  <c r="AU19" i="7"/>
  <c r="BA19" i="7"/>
  <c r="BC19" i="7"/>
  <c r="AC19" i="7"/>
  <c r="AE19" i="7"/>
  <c r="Q19" i="7" s="1"/>
  <c r="I24" i="15" s="1"/>
  <c r="K24" i="15" s="1"/>
  <c r="AG20" i="7"/>
  <c r="AL20" i="7" s="1"/>
  <c r="AH20" i="7"/>
  <c r="AI20" i="7" l="1"/>
  <c r="AM20" i="7" s="1"/>
  <c r="W24" i="15"/>
  <c r="Q24" i="15"/>
  <c r="AW20" i="7"/>
  <c r="BB20" i="7" s="1"/>
  <c r="AX20" i="7"/>
  <c r="G19" i="7"/>
  <c r="Z20" i="7"/>
  <c r="Y20" i="7"/>
  <c r="AD20" i="7" s="1"/>
  <c r="I19" i="7"/>
  <c r="AO20" i="7"/>
  <c r="AT20" i="7" s="1"/>
  <c r="AP20" i="7"/>
  <c r="AA20" i="7" l="1"/>
  <c r="AY20" i="7"/>
  <c r="L18" i="9"/>
  <c r="R24" i="15"/>
  <c r="AQ20" i="7"/>
  <c r="BI24" i="15"/>
  <c r="BK24" i="15"/>
  <c r="BG24" i="15"/>
  <c r="BE24" i="15"/>
  <c r="BF24" i="15"/>
  <c r="BH24" i="15"/>
  <c r="BJ24" i="15"/>
  <c r="BD24" i="15"/>
  <c r="BC24" i="15"/>
  <c r="BB24" i="15" l="1"/>
  <c r="L24" i="15" s="1"/>
  <c r="U19" i="7" s="1"/>
  <c r="V19" i="7" s="1"/>
  <c r="W20" i="7" s="1"/>
  <c r="AY24" i="15"/>
  <c r="AX24" i="15"/>
  <c r="AR24" i="15"/>
  <c r="AZ24" i="15"/>
  <c r="AS24" i="15"/>
  <c r="AU24" i="15"/>
  <c r="AT24" i="15"/>
  <c r="AV24" i="15"/>
  <c r="AW24" i="15"/>
  <c r="S20" i="7" l="1"/>
  <c r="P20" i="7" s="1"/>
  <c r="D72" i="13" s="1"/>
  <c r="F19" i="7"/>
  <c r="AQ24" i="15"/>
  <c r="S24" i="15" s="1"/>
  <c r="U24" i="15" s="1"/>
  <c r="V24" i="15" s="1"/>
  <c r="AF24" i="15" s="1"/>
  <c r="AL24" i="15" l="1"/>
  <c r="AG24" i="15"/>
  <c r="AN24" i="15"/>
  <c r="AI24" i="15"/>
  <c r="AO24" i="15"/>
  <c r="AD24" i="15"/>
  <c r="AH24" i="15"/>
  <c r="AE24" i="15"/>
  <c r="F25" i="15"/>
  <c r="G25" i="15" s="1"/>
  <c r="BM25" i="15" s="1"/>
  <c r="BN25" i="15" s="1"/>
  <c r="BX25" i="15" s="1"/>
  <c r="BT25" i="15" s="1"/>
  <c r="BO25" i="15" s="1"/>
  <c r="BY25" i="15" s="1"/>
  <c r="BU25" i="15" s="1"/>
  <c r="M19" i="9"/>
  <c r="AJ24" i="15"/>
  <c r="AK24" i="15"/>
  <c r="AC24" i="15" l="1"/>
  <c r="AA24" i="15" s="1"/>
  <c r="BP25" i="15"/>
  <c r="N18" i="9" l="1"/>
  <c r="BV25" i="15"/>
  <c r="BW25" i="15"/>
  <c r="BS25" i="15" s="1"/>
  <c r="O18" i="9" l="1"/>
  <c r="E71" i="13" s="1"/>
  <c r="J71" i="13" s="1"/>
  <c r="P18" i="9"/>
  <c r="F71" i="13" s="1"/>
  <c r="BR25" i="15"/>
  <c r="K20" i="7" s="1"/>
  <c r="N20" i="7" s="1"/>
  <c r="H19" i="7" l="1"/>
  <c r="E19" i="7" s="1"/>
  <c r="L71" i="13" s="1"/>
  <c r="N71" i="13" s="1"/>
  <c r="O71" i="13" s="1"/>
  <c r="N25" i="15"/>
  <c r="O25" i="15" s="1"/>
  <c r="AZ20" i="7"/>
  <c r="AR20" i="7"/>
  <c r="M20" i="7"/>
  <c r="AS20" i="7" l="1"/>
  <c r="AU20" i="7"/>
  <c r="BA20" i="7"/>
  <c r="BC20" i="7"/>
  <c r="AB20" i="7"/>
  <c r="AJ20" i="7"/>
  <c r="AK20" i="7" s="1"/>
  <c r="L20" i="7"/>
  <c r="T20" i="7" s="1"/>
  <c r="AC20" i="7" l="1"/>
  <c r="AE20" i="7"/>
  <c r="Q20" i="7" s="1"/>
  <c r="I25" i="15" s="1"/>
  <c r="K25" i="15" s="1"/>
  <c r="AW21" i="7"/>
  <c r="BB21" i="7" s="1"/>
  <c r="AX21" i="7"/>
  <c r="AH21" i="7"/>
  <c r="AG21" i="7"/>
  <c r="AL21" i="7" s="1"/>
  <c r="AP21" i="7"/>
  <c r="AO21" i="7"/>
  <c r="AT21" i="7" s="1"/>
  <c r="I20" i="7"/>
  <c r="AY21" i="7" l="1"/>
  <c r="W25" i="15"/>
  <c r="Q25" i="15"/>
  <c r="AQ21" i="7"/>
  <c r="AI21" i="7"/>
  <c r="AM21" i="7" s="1"/>
  <c r="G20" i="7"/>
  <c r="Z21" i="7"/>
  <c r="Y21" i="7"/>
  <c r="AD21" i="7" s="1"/>
  <c r="L19" i="9" l="1"/>
  <c r="R25" i="15"/>
  <c r="BD25" i="15"/>
  <c r="BH25" i="15"/>
  <c r="BJ25" i="15"/>
  <c r="BF25" i="15"/>
  <c r="BG25" i="15"/>
  <c r="BI25" i="15"/>
  <c r="BE25" i="15"/>
  <c r="BC25" i="15"/>
  <c r="BK25" i="15"/>
  <c r="AA21" i="7"/>
  <c r="BB25" i="15" l="1"/>
  <c r="L25" i="15" s="1"/>
  <c r="U20" i="7" s="1"/>
  <c r="V20" i="7" s="1"/>
  <c r="AZ25" i="15"/>
  <c r="AW25" i="15"/>
  <c r="AS25" i="15"/>
  <c r="AT25" i="15"/>
  <c r="AR25" i="15"/>
  <c r="AV25" i="15"/>
  <c r="AU25" i="15"/>
  <c r="AY25" i="15"/>
  <c r="AX25" i="15"/>
  <c r="AQ25" i="15" l="1"/>
  <c r="S25" i="15" s="1"/>
  <c r="U25" i="15" s="1"/>
  <c r="V25" i="15" s="1"/>
  <c r="S21" i="7"/>
  <c r="P21" i="7" s="1"/>
  <c r="W21" i="7"/>
  <c r="F20" i="7"/>
  <c r="M20" i="9" l="1"/>
  <c r="F26" i="15"/>
  <c r="G26" i="15" s="1"/>
  <c r="D73" i="13"/>
  <c r="AJ25" i="15"/>
  <c r="AI25" i="15"/>
  <c r="AF25" i="15"/>
  <c r="AG25" i="15"/>
  <c r="AH25" i="15"/>
  <c r="AL25" i="15"/>
  <c r="AN25" i="15"/>
  <c r="AK25" i="15"/>
  <c r="AE25" i="15"/>
  <c r="AD25" i="15"/>
  <c r="AO25" i="15"/>
  <c r="AC25" i="15" l="1"/>
  <c r="AA25" i="15" s="1"/>
  <c r="BM26" i="15"/>
  <c r="BN26" i="15" s="1"/>
  <c r="BX26" i="15" s="1"/>
  <c r="BT26" i="15" s="1"/>
  <c r="BO26" i="15" s="1"/>
  <c r="BY26" i="15" s="1"/>
  <c r="BU26" i="15" s="1"/>
  <c r="N19" i="9" l="1"/>
  <c r="BP26" i="15"/>
  <c r="P19" i="9" l="1"/>
  <c r="O19" i="9"/>
  <c r="E72" i="13" s="1"/>
  <c r="J72" i="13" s="1"/>
  <c r="BW26" i="15"/>
  <c r="BS26" i="15" s="1"/>
  <c r="BV26" i="15"/>
  <c r="F72" i="13" l="1"/>
  <c r="H20" i="7"/>
  <c r="E20" i="7" s="1"/>
  <c r="L72" i="13" s="1"/>
  <c r="N72" i="13" s="1"/>
  <c r="O72" i="13" s="1"/>
  <c r="BR26" i="15"/>
  <c r="K21" i="7" s="1"/>
  <c r="N21" i="7" s="1"/>
  <c r="M21" i="7" l="1"/>
  <c r="N26" i="15"/>
  <c r="O26" i="15" s="1"/>
  <c r="AR21" i="7"/>
  <c r="AZ21" i="7"/>
  <c r="AB21" i="7" l="1"/>
  <c r="AJ21" i="7"/>
  <c r="AK21" i="7" s="1"/>
  <c r="L21" i="7"/>
  <c r="T21" i="7" s="1"/>
  <c r="BA21" i="7"/>
  <c r="BC21" i="7"/>
  <c r="AS21" i="7"/>
  <c r="AU21" i="7"/>
  <c r="AG22" i="7" l="1"/>
  <c r="AL22" i="7" s="1"/>
  <c r="AH22" i="7"/>
  <c r="AE21" i="7"/>
  <c r="Q21" i="7" s="1"/>
  <c r="I26" i="15" s="1"/>
  <c r="K26" i="15" s="1"/>
  <c r="Q26" i="15" s="1"/>
  <c r="R26" i="15" s="1"/>
  <c r="AC21" i="7"/>
  <c r="AW22" i="7"/>
  <c r="BB22" i="7" s="1"/>
  <c r="AX22" i="7"/>
  <c r="AO22" i="7"/>
  <c r="AT22" i="7" s="1"/>
  <c r="I21" i="7"/>
  <c r="AP22" i="7"/>
  <c r="Y22" i="7" l="1"/>
  <c r="G21" i="7"/>
  <c r="Z22" i="7"/>
  <c r="L20" i="9"/>
  <c r="AI22" i="7"/>
  <c r="AM22" i="7" s="1"/>
  <c r="AW26" i="15"/>
  <c r="AX26" i="15"/>
  <c r="AY26" i="15"/>
  <c r="AR26" i="15"/>
  <c r="AZ26" i="15"/>
  <c r="AS26" i="15"/>
  <c r="AT26" i="15"/>
  <c r="AU26" i="15"/>
  <c r="AV26" i="15"/>
  <c r="AQ22" i="7"/>
  <c r="AY22" i="7"/>
  <c r="AD22" i="7" l="1"/>
  <c r="AA22" i="7"/>
  <c r="AQ26" i="15"/>
  <c r="S26" i="15" s="1"/>
  <c r="U26" i="15" s="1"/>
  <c r="V26" i="15" l="1"/>
  <c r="W26" i="15"/>
  <c r="BC26" i="15" l="1"/>
  <c r="BK26" i="15"/>
  <c r="BD26" i="15"/>
  <c r="BE26" i="15"/>
  <c r="BF26" i="15"/>
  <c r="BG26" i="15"/>
  <c r="BH26" i="15"/>
  <c r="BI26" i="15"/>
  <c r="BJ26" i="15"/>
  <c r="AE26" i="15"/>
  <c r="AF26" i="15"/>
  <c r="AN26" i="15"/>
  <c r="AG26" i="15"/>
  <c r="AO26" i="15"/>
  <c r="AH26" i="15"/>
  <c r="AI26" i="15"/>
  <c r="AJ26" i="15"/>
  <c r="AK26" i="15"/>
  <c r="AD26" i="15"/>
  <c r="AL26" i="15"/>
  <c r="AC26" i="15" l="1"/>
  <c r="BB26" i="15"/>
  <c r="L26" i="15" s="1"/>
  <c r="U21" i="7" s="1"/>
  <c r="V21" i="7" s="1"/>
  <c r="AA26" i="15" l="1"/>
  <c r="N20" i="9"/>
  <c r="S22" i="7"/>
  <c r="P22" i="7" s="1"/>
  <c r="W22" i="7"/>
  <c r="F21" i="7"/>
  <c r="O20" i="9" l="1"/>
  <c r="E73" i="13" s="1"/>
  <c r="J73" i="13" s="1"/>
  <c r="P20" i="9"/>
  <c r="M21" i="9"/>
  <c r="F27" i="15"/>
  <c r="G27" i="15" s="1"/>
  <c r="D74" i="13"/>
  <c r="BM27" i="15" l="1"/>
  <c r="BN27" i="15" s="1"/>
  <c r="BX27" i="15" s="1"/>
  <c r="BT27" i="15" s="1"/>
  <c r="BO27" i="15" s="1"/>
  <c r="BY27" i="15" s="1"/>
  <c r="BU27" i="15" s="1"/>
  <c r="F73" i="13"/>
  <c r="H21" i="7"/>
  <c r="E21" i="7" s="1"/>
  <c r="L73" i="13" s="1"/>
  <c r="N73" i="13" l="1"/>
  <c r="H54" i="13"/>
  <c r="BP27" i="15"/>
  <c r="BW27" i="15" l="1"/>
  <c r="BS27" i="15" s="1"/>
  <c r="BV27" i="15"/>
  <c r="O73" i="13"/>
  <c r="I54" i="13"/>
  <c r="BR27" i="15" l="1"/>
  <c r="K22" i="7" s="1"/>
  <c r="N22" i="7" s="1"/>
  <c r="M22" i="7" s="1"/>
  <c r="N27" i="15" l="1"/>
  <c r="O27" i="15" s="1"/>
  <c r="AZ22" i="7"/>
  <c r="AR22" i="7"/>
  <c r="AJ22" i="7"/>
  <c r="AK22" i="7" s="1"/>
  <c r="AB22" i="7"/>
  <c r="L22" i="7"/>
  <c r="T22" i="7" s="1"/>
  <c r="AC22" i="7" l="1"/>
  <c r="AE22" i="7"/>
  <c r="Q22" i="7" s="1"/>
  <c r="I27" i="15" s="1"/>
  <c r="K27" i="15" s="1"/>
  <c r="AH23" i="7"/>
  <c r="AG23" i="7"/>
  <c r="AL23" i="7" s="1"/>
  <c r="BA22" i="7"/>
  <c r="BC22" i="7"/>
  <c r="AS22" i="7"/>
  <c r="AU22" i="7"/>
  <c r="AI23" i="7" l="1"/>
  <c r="AM23" i="7" s="1"/>
  <c r="AW23" i="7"/>
  <c r="BB23" i="7" s="1"/>
  <c r="AX23" i="7"/>
  <c r="Q27" i="15"/>
  <c r="AO23" i="7"/>
  <c r="AT23" i="7" s="1"/>
  <c r="I22" i="7"/>
  <c r="AP23" i="7"/>
  <c r="Y23" i="7"/>
  <c r="AD23" i="7" s="1"/>
  <c r="Z23" i="7"/>
  <c r="G22" i="7"/>
  <c r="AY23" i="7" l="1"/>
  <c r="AA23" i="7"/>
  <c r="R27" i="15"/>
  <c r="L21" i="9"/>
  <c r="AQ23" i="7"/>
  <c r="AT27" i="15" l="1"/>
  <c r="AU27" i="15"/>
  <c r="AV27" i="15"/>
  <c r="AW27" i="15"/>
  <c r="AX27" i="15"/>
  <c r="AY27" i="15"/>
  <c r="AR27" i="15"/>
  <c r="AZ27" i="15"/>
  <c r="AS27" i="15"/>
  <c r="AQ27" i="15" l="1"/>
  <c r="S27" i="15" s="1"/>
  <c r="U27" i="15" s="1"/>
  <c r="V27" i="15" l="1"/>
  <c r="W27" i="15"/>
  <c r="BH27" i="15" l="1"/>
  <c r="BI27" i="15"/>
  <c r="BJ27" i="15"/>
  <c r="BC27" i="15"/>
  <c r="BK27" i="15"/>
  <c r="BD27" i="15"/>
  <c r="BE27" i="15"/>
  <c r="BF27" i="15"/>
  <c r="BG27" i="15"/>
  <c r="AJ27" i="15"/>
  <c r="AK27" i="15"/>
  <c r="AD27" i="15"/>
  <c r="AL27" i="15"/>
  <c r="AE27" i="15"/>
  <c r="AF27" i="15"/>
  <c r="AN27" i="15"/>
  <c r="AG27" i="15"/>
  <c r="AO27" i="15"/>
  <c r="AH27" i="15"/>
  <c r="AI27" i="15"/>
  <c r="BB27" i="15" l="1"/>
  <c r="L27" i="15" s="1"/>
  <c r="U22" i="7" s="1"/>
  <c r="V22" i="7" s="1"/>
  <c r="AC27" i="15"/>
  <c r="AA27" i="15" s="1"/>
  <c r="N21" i="9" l="1"/>
  <c r="P21" i="9" s="1"/>
  <c r="W23" i="7"/>
  <c r="S23" i="7"/>
  <c r="P23" i="7" s="1"/>
  <c r="F22" i="7"/>
  <c r="O21" i="9" l="1"/>
  <c r="E74" i="13" s="1"/>
  <c r="J74" i="13" s="1"/>
  <c r="M22" i="9"/>
  <c r="F28" i="15"/>
  <c r="G28" i="15" s="1"/>
  <c r="D75" i="13"/>
  <c r="F74" i="13"/>
  <c r="H22" i="7"/>
  <c r="E22" i="7" s="1"/>
  <c r="L74" i="13" s="1"/>
  <c r="N74" i="13" s="1"/>
  <c r="O74" i="13" s="1"/>
  <c r="BM28" i="15" l="1"/>
  <c r="BN28" i="15" s="1"/>
  <c r="BX28" i="15" s="1"/>
  <c r="BT28" i="15" s="1"/>
  <c r="BO28" i="15" s="1"/>
  <c r="BY28" i="15" s="1"/>
  <c r="BU28" i="15" s="1"/>
  <c r="BP28" i="15" l="1"/>
  <c r="BV28" i="15" l="1"/>
  <c r="BW28" i="15"/>
  <c r="BS28" i="15" s="1"/>
  <c r="BR28" i="15" s="1"/>
  <c r="K23" i="7" s="1"/>
  <c r="N23" i="7" l="1"/>
  <c r="M23" i="7" s="1"/>
  <c r="AJ23" i="7" l="1"/>
  <c r="AK23" i="7" s="1"/>
  <c r="AB23" i="7"/>
  <c r="N28" i="15"/>
  <c r="O28" i="15" s="1"/>
  <c r="AZ23" i="7"/>
  <c r="AR23" i="7"/>
  <c r="L23" i="7"/>
  <c r="T23" i="7" s="1"/>
  <c r="AS23" i="7" l="1"/>
  <c r="AU23" i="7"/>
  <c r="BA23" i="7"/>
  <c r="BC23" i="7"/>
  <c r="AC23" i="7"/>
  <c r="AE23" i="7"/>
  <c r="Q23" i="7" s="1"/>
  <c r="I28" i="15" s="1"/>
  <c r="K28" i="15" s="1"/>
  <c r="AH24" i="7"/>
  <c r="AG24" i="7"/>
  <c r="AL24" i="7" s="1"/>
  <c r="Q28" i="15" l="1"/>
  <c r="AW24" i="7"/>
  <c r="BB24" i="7" s="1"/>
  <c r="AX24" i="7"/>
  <c r="Z24" i="7"/>
  <c r="G23" i="7"/>
  <c r="Y24" i="7"/>
  <c r="AD24" i="7" s="1"/>
  <c r="AI24" i="7"/>
  <c r="AM24" i="7" s="1"/>
  <c r="AO24" i="7"/>
  <c r="AT24" i="7" s="1"/>
  <c r="I23" i="7"/>
  <c r="AP24" i="7"/>
  <c r="AY24" i="7" l="1"/>
  <c r="AA24" i="7"/>
  <c r="AQ24" i="7"/>
  <c r="R28" i="15"/>
  <c r="L22" i="9"/>
  <c r="AU28" i="15" l="1"/>
  <c r="AV28" i="15"/>
  <c r="AW28" i="15"/>
  <c r="AX28" i="15"/>
  <c r="AY28" i="15"/>
  <c r="AR28" i="15"/>
  <c r="AZ28" i="15"/>
  <c r="AS28" i="15"/>
  <c r="AT28" i="15"/>
  <c r="AQ28" i="15" l="1"/>
  <c r="S28" i="15" s="1"/>
  <c r="U28" i="15" s="1"/>
  <c r="V28" i="15" s="1"/>
  <c r="W28" i="15" l="1"/>
  <c r="BI28" i="15" s="1"/>
  <c r="AI28" i="15"/>
  <c r="AJ28" i="15"/>
  <c r="AK28" i="15"/>
  <c r="AD28" i="15"/>
  <c r="AL28" i="15"/>
  <c r="AE28" i="15"/>
  <c r="AF28" i="15"/>
  <c r="AN28" i="15"/>
  <c r="AG28" i="15"/>
  <c r="AO28" i="15"/>
  <c r="AH28" i="15"/>
  <c r="BG28" i="15" l="1"/>
  <c r="BF28" i="15"/>
  <c r="BE28" i="15"/>
  <c r="BD28" i="15"/>
  <c r="BK28" i="15"/>
  <c r="BC28" i="15"/>
  <c r="BJ28" i="15"/>
  <c r="BH28" i="15"/>
  <c r="AC28" i="15"/>
  <c r="BB28" i="15" l="1"/>
  <c r="L28" i="15" s="1"/>
  <c r="U23" i="7" s="1"/>
  <c r="V23" i="7" s="1"/>
  <c r="S24" i="7" s="1"/>
  <c r="P24" i="7" s="1"/>
  <c r="AA28" i="15" l="1"/>
  <c r="N22" i="9"/>
  <c r="F23" i="7"/>
  <c r="W24" i="7"/>
  <c r="M23" i="9"/>
  <c r="F29" i="15"/>
  <c r="G29" i="15" s="1"/>
  <c r="D76" i="13"/>
  <c r="P22" i="9" l="1"/>
  <c r="F75" i="13" s="1"/>
  <c r="O22" i="9"/>
  <c r="E75" i="13" s="1"/>
  <c r="J75" i="13" s="1"/>
  <c r="BM29" i="15"/>
  <c r="BN29" i="15" s="1"/>
  <c r="BX29" i="15" s="1"/>
  <c r="BT29" i="15" s="1"/>
  <c r="BO29" i="15" s="1"/>
  <c r="BY29" i="15" s="1"/>
  <c r="BU29" i="15" s="1"/>
  <c r="H23" i="7"/>
  <c r="E23" i="7" s="1"/>
  <c r="L75" i="13" s="1"/>
  <c r="N75" i="13" s="1"/>
  <c r="O75" i="13" s="1"/>
  <c r="BP29" i="15" l="1"/>
  <c r="BV29" i="15" l="1"/>
  <c r="BW29" i="15"/>
  <c r="BS29" i="15" s="1"/>
  <c r="BR29" i="15" s="1"/>
  <c r="K24" i="7" s="1"/>
  <c r="N24" i="7" l="1"/>
  <c r="M24" i="7" s="1"/>
  <c r="AB24" i="7" l="1"/>
  <c r="AJ24" i="7"/>
  <c r="AK24" i="7" s="1"/>
  <c r="N29" i="15"/>
  <c r="O29" i="15" s="1"/>
  <c r="AZ24" i="7"/>
  <c r="AR24" i="7"/>
  <c r="L24" i="7"/>
  <c r="T24" i="7" s="1"/>
  <c r="AS24" i="7" l="1"/>
  <c r="AU24" i="7"/>
  <c r="BA24" i="7"/>
  <c r="BC24" i="7"/>
  <c r="AH25" i="7"/>
  <c r="AG25" i="7"/>
  <c r="AL25" i="7" s="1"/>
  <c r="AC24" i="7"/>
  <c r="AE24" i="7"/>
  <c r="Q24" i="7" s="1"/>
  <c r="I29" i="15" s="1"/>
  <c r="K29" i="15" s="1"/>
  <c r="AW25" i="7" l="1"/>
  <c r="BB25" i="7" s="1"/>
  <c r="AX25" i="7"/>
  <c r="Q29" i="15"/>
  <c r="G24" i="7"/>
  <c r="Y25" i="7"/>
  <c r="AD25" i="7" s="1"/>
  <c r="Z25" i="7"/>
  <c r="I24" i="7"/>
  <c r="AO25" i="7"/>
  <c r="AT25" i="7" s="1"/>
  <c r="AP25" i="7"/>
  <c r="AI25" i="7"/>
  <c r="AM25" i="7" s="1"/>
  <c r="AY25" i="7" l="1"/>
  <c r="AA25" i="7"/>
  <c r="AQ25" i="7"/>
  <c r="R29" i="15"/>
  <c r="L23" i="9"/>
  <c r="AV29" i="15" l="1"/>
  <c r="AW29" i="15"/>
  <c r="AX29" i="15"/>
  <c r="AY29" i="15"/>
  <c r="AR29" i="15"/>
  <c r="AZ29" i="15"/>
  <c r="AS29" i="15"/>
  <c r="AT29" i="15"/>
  <c r="AU29" i="15"/>
  <c r="AQ29" i="15" l="1"/>
  <c r="S29" i="15" s="1"/>
  <c r="U29" i="15" s="1"/>
  <c r="V29" i="15" s="1"/>
  <c r="W29" i="15" l="1"/>
  <c r="BJ29" i="15" s="1"/>
  <c r="AG29" i="15"/>
  <c r="AO29" i="15"/>
  <c r="AH29" i="15"/>
  <c r="AI29" i="15"/>
  <c r="AJ29" i="15"/>
  <c r="AK29" i="15"/>
  <c r="AD29" i="15"/>
  <c r="AL29" i="15"/>
  <c r="AE29" i="15"/>
  <c r="AF29" i="15"/>
  <c r="AN29" i="15"/>
  <c r="BF29" i="15" l="1"/>
  <c r="BE29" i="15"/>
  <c r="BK29" i="15"/>
  <c r="BH29" i="15"/>
  <c r="BG29" i="15"/>
  <c r="BD29" i="15"/>
  <c r="BC29" i="15"/>
  <c r="BI29" i="15"/>
  <c r="AC29" i="15"/>
  <c r="BB29" i="15" l="1"/>
  <c r="L29" i="15" s="1"/>
  <c r="U24" i="7" s="1"/>
  <c r="V24" i="7" s="1"/>
  <c r="S25" i="7" s="1"/>
  <c r="P25" i="7" s="1"/>
  <c r="AA29" i="15" l="1"/>
  <c r="N23" i="9"/>
  <c r="P23" i="9" s="1"/>
  <c r="F76" i="13" s="1"/>
  <c r="W25" i="7"/>
  <c r="F24" i="7"/>
  <c r="M24" i="9"/>
  <c r="F30" i="15"/>
  <c r="G30" i="15" s="1"/>
  <c r="D77" i="13"/>
  <c r="O23" i="9" l="1"/>
  <c r="E76" i="13" s="1"/>
  <c r="J76" i="13" s="1"/>
  <c r="H24" i="7"/>
  <c r="E24" i="7" s="1"/>
  <c r="L76" i="13" s="1"/>
  <c r="N76" i="13" s="1"/>
  <c r="O76" i="13" s="1"/>
  <c r="BM30" i="15"/>
  <c r="BN30" i="15" s="1"/>
  <c r="BX30" i="15" s="1"/>
  <c r="BT30" i="15" s="1"/>
  <c r="BO30" i="15" s="1"/>
  <c r="BY30" i="15" s="1"/>
  <c r="BU30" i="15" s="1"/>
  <c r="BP30" i="15" l="1"/>
  <c r="BV30" i="15" l="1"/>
  <c r="BW30" i="15"/>
  <c r="BS30" i="15" s="1"/>
  <c r="BR30" i="15" l="1"/>
  <c r="K25" i="7" s="1"/>
  <c r="N25" i="7" s="1"/>
  <c r="M25" i="7" s="1"/>
  <c r="AJ25" i="7" l="1"/>
  <c r="AK25" i="7" s="1"/>
  <c r="AB25" i="7"/>
  <c r="L25" i="7"/>
  <c r="T25" i="7" s="1"/>
  <c r="N30" i="15"/>
  <c r="O30" i="15" s="1"/>
  <c r="AR25" i="7"/>
  <c r="AZ25" i="7"/>
  <c r="BA25" i="7" l="1"/>
  <c r="BC25" i="7"/>
  <c r="AS25" i="7"/>
  <c r="AU25" i="7"/>
  <c r="AC25" i="7"/>
  <c r="AE25" i="7"/>
  <c r="Q25" i="7" s="1"/>
  <c r="I30" i="15" s="1"/>
  <c r="K30" i="15" s="1"/>
  <c r="AH26" i="7"/>
  <c r="AG26" i="7"/>
  <c r="AL26" i="7" s="1"/>
  <c r="AI26" i="7" l="1"/>
  <c r="AM26" i="7" s="1"/>
  <c r="W30" i="15"/>
  <c r="Q30" i="15"/>
  <c r="G25" i="7"/>
  <c r="Y26" i="7"/>
  <c r="AD26" i="7" s="1"/>
  <c r="Z26" i="7"/>
  <c r="I25" i="7"/>
  <c r="AO26" i="7"/>
  <c r="AT26" i="7" s="1"/>
  <c r="AP26" i="7"/>
  <c r="AW26" i="7"/>
  <c r="BB26" i="7" s="1"/>
  <c r="AX26" i="7"/>
  <c r="AA26" i="7" l="1"/>
  <c r="AY26" i="7"/>
  <c r="AQ26" i="7"/>
  <c r="R30" i="15"/>
  <c r="L24" i="9"/>
  <c r="BJ30" i="15"/>
  <c r="BC30" i="15"/>
  <c r="BK30" i="15"/>
  <c r="BD30" i="15"/>
  <c r="BE30" i="15"/>
  <c r="BF30" i="15"/>
  <c r="BG30" i="15"/>
  <c r="BH30" i="15"/>
  <c r="BI30" i="15"/>
  <c r="AX30" i="15" l="1"/>
  <c r="AY30" i="15"/>
  <c r="AR30" i="15"/>
  <c r="AZ30" i="15"/>
  <c r="AS30" i="15"/>
  <c r="AT30" i="15"/>
  <c r="AU30" i="15"/>
  <c r="AV30" i="15"/>
  <c r="AW30" i="15"/>
  <c r="BB30" i="15"/>
  <c r="L30" i="15" s="1"/>
  <c r="U25" i="7" s="1"/>
  <c r="V25" i="7" s="1"/>
  <c r="AQ30" i="15" l="1"/>
  <c r="S30" i="15" s="1"/>
  <c r="U30" i="15" s="1"/>
  <c r="V30" i="15" s="1"/>
  <c r="S26" i="7"/>
  <c r="P26" i="7" s="1"/>
  <c r="W26" i="7"/>
  <c r="F25" i="7"/>
  <c r="M25" i="9" l="1"/>
  <c r="F31" i="15"/>
  <c r="G31" i="15" s="1"/>
  <c r="D78" i="13"/>
  <c r="AE30" i="15"/>
  <c r="AF30" i="15"/>
  <c r="AN30" i="15"/>
  <c r="AG30" i="15"/>
  <c r="AO30" i="15"/>
  <c r="AH30" i="15"/>
  <c r="AI30" i="15"/>
  <c r="AJ30" i="15"/>
  <c r="AK30" i="15"/>
  <c r="AD30" i="15"/>
  <c r="AL30" i="15"/>
  <c r="AC30" i="15" l="1"/>
  <c r="AA30" i="15" s="1"/>
  <c r="BM31" i="15"/>
  <c r="BN31" i="15" s="1"/>
  <c r="BX31" i="15" s="1"/>
  <c r="BT31" i="15" s="1"/>
  <c r="BO31" i="15" s="1"/>
  <c r="BY31" i="15" s="1"/>
  <c r="BU31" i="15" s="1"/>
  <c r="N24" i="9" l="1"/>
  <c r="BP31" i="15"/>
  <c r="P24" i="9" l="1"/>
  <c r="O24" i="9"/>
  <c r="E77" i="13" s="1"/>
  <c r="J77" i="13" s="1"/>
  <c r="BV31" i="15"/>
  <c r="BW31" i="15"/>
  <c r="BS31" i="15" s="1"/>
  <c r="H25" i="7" l="1"/>
  <c r="E25" i="7" s="1"/>
  <c r="L77" i="13" s="1"/>
  <c r="N77" i="13" s="1"/>
  <c r="O77" i="13" s="1"/>
  <c r="F77" i="13"/>
  <c r="BR31" i="15"/>
  <c r="K26" i="7" s="1"/>
  <c r="N26" i="7" s="1"/>
  <c r="M26" i="7" s="1"/>
  <c r="AB26" i="7" l="1"/>
  <c r="AJ26" i="7"/>
  <c r="AK26" i="7" s="1"/>
  <c r="L26" i="7"/>
  <c r="T26" i="7" s="1"/>
  <c r="N31" i="15"/>
  <c r="O31" i="15" s="1"/>
  <c r="AZ26" i="7"/>
  <c r="AR26" i="7"/>
  <c r="AS26" i="7" l="1"/>
  <c r="AU26" i="7"/>
  <c r="BA26" i="7"/>
  <c r="BC26" i="7"/>
  <c r="AH27" i="7"/>
  <c r="AG27" i="7"/>
  <c r="AL27" i="7" s="1"/>
  <c r="AC26" i="7"/>
  <c r="AE26" i="7"/>
  <c r="Q26" i="7" s="1"/>
  <c r="I31" i="15" s="1"/>
  <c r="K31" i="15" s="1"/>
  <c r="W31" i="15" l="1"/>
  <c r="Q31" i="15"/>
  <c r="AW27" i="7"/>
  <c r="BB27" i="7" s="1"/>
  <c r="AX27" i="7"/>
  <c r="G26" i="7"/>
  <c r="Y27" i="7"/>
  <c r="AD27" i="7" s="1"/>
  <c r="Z27" i="7"/>
  <c r="AI27" i="7"/>
  <c r="AM27" i="7" s="1"/>
  <c r="I26" i="7"/>
  <c r="AO27" i="7"/>
  <c r="AT27" i="7" s="1"/>
  <c r="AP27" i="7"/>
  <c r="AQ27" i="7" l="1"/>
  <c r="AY27" i="7"/>
  <c r="AA27" i="7"/>
  <c r="L25" i="9"/>
  <c r="R31" i="15"/>
  <c r="BJ31" i="15"/>
  <c r="BC31" i="15"/>
  <c r="BK31" i="15"/>
  <c r="BD31" i="15"/>
  <c r="BE31" i="15"/>
  <c r="BF31" i="15"/>
  <c r="BG31" i="15"/>
  <c r="BH31" i="15"/>
  <c r="BI31" i="15"/>
  <c r="BB31" i="15" l="1"/>
  <c r="L31" i="15" s="1"/>
  <c r="U26" i="7" s="1"/>
  <c r="V26" i="7" s="1"/>
  <c r="AT31" i="15"/>
  <c r="AU31" i="15"/>
  <c r="AV31" i="15"/>
  <c r="AW31" i="15"/>
  <c r="AX31" i="15"/>
  <c r="AY31" i="15"/>
  <c r="AR31" i="15"/>
  <c r="AZ31" i="15"/>
  <c r="AS31" i="15"/>
  <c r="AQ31" i="15" l="1"/>
  <c r="S31" i="15" s="1"/>
  <c r="U31" i="15" s="1"/>
  <c r="V31" i="15" s="1"/>
  <c r="S27" i="7"/>
  <c r="P27" i="7" s="1"/>
  <c r="W27" i="7"/>
  <c r="F26" i="7"/>
  <c r="M26" i="9" l="1"/>
  <c r="F32" i="15"/>
  <c r="G32" i="15" s="1"/>
  <c r="D79" i="13"/>
  <c r="AI31" i="15"/>
  <c r="AJ31" i="15"/>
  <c r="AK31" i="15"/>
  <c r="AD31" i="15"/>
  <c r="AL31" i="15"/>
  <c r="AE31" i="15"/>
  <c r="AF31" i="15"/>
  <c r="AN31" i="15"/>
  <c r="AG31" i="15"/>
  <c r="AO31" i="15"/>
  <c r="AH31" i="15"/>
  <c r="AC31" i="15" l="1"/>
  <c r="AA31" i="15" s="1"/>
  <c r="BM32" i="15"/>
  <c r="BN32" i="15" s="1"/>
  <c r="BX32" i="15" s="1"/>
  <c r="BT32" i="15" s="1"/>
  <c r="BO32" i="15" s="1"/>
  <c r="BY32" i="15" s="1"/>
  <c r="BU32" i="15" s="1"/>
  <c r="N25" i="9" l="1"/>
  <c r="BP32" i="15"/>
  <c r="O25" i="9" l="1"/>
  <c r="E78" i="13" s="1"/>
  <c r="J78" i="13" s="1"/>
  <c r="P25" i="9"/>
  <c r="F78" i="13" s="1"/>
  <c r="BV32" i="15"/>
  <c r="BW32" i="15"/>
  <c r="BS32" i="15" s="1"/>
  <c r="BR32" i="15" s="1"/>
  <c r="K27" i="7" s="1"/>
  <c r="H26" i="7" l="1"/>
  <c r="E26" i="7" s="1"/>
  <c r="L78" i="13" s="1"/>
  <c r="N78" i="13" s="1"/>
  <c r="O78" i="13" s="1"/>
  <c r="N27" i="7"/>
  <c r="N32" i="15" l="1"/>
  <c r="O32" i="15" s="1"/>
  <c r="AZ27" i="7"/>
  <c r="AR27" i="7"/>
  <c r="M27" i="7"/>
  <c r="AJ27" i="7" l="1"/>
  <c r="AK27" i="7" s="1"/>
  <c r="AB27" i="7"/>
  <c r="L27" i="7"/>
  <c r="T27" i="7" s="1"/>
  <c r="AS27" i="7"/>
  <c r="AU27" i="7"/>
  <c r="BA27" i="7"/>
  <c r="BC27" i="7"/>
  <c r="AW28" i="7" l="1"/>
  <c r="BB28" i="7" s="1"/>
  <c r="AX28" i="7"/>
  <c r="I27" i="7"/>
  <c r="AO28" i="7"/>
  <c r="AT28" i="7" s="1"/>
  <c r="AP28" i="7"/>
  <c r="AC27" i="7"/>
  <c r="AE27" i="7"/>
  <c r="Q27" i="7" s="1"/>
  <c r="I32" i="15" s="1"/>
  <c r="K32" i="15" s="1"/>
  <c r="AH28" i="7"/>
  <c r="AG28" i="7"/>
  <c r="AL28" i="7" s="1"/>
  <c r="AI28" i="7" l="1"/>
  <c r="AM28" i="7" s="1"/>
  <c r="AQ28" i="7"/>
  <c r="AY28" i="7"/>
  <c r="W32" i="15"/>
  <c r="Q32" i="15"/>
  <c r="Y28" i="7"/>
  <c r="AD28" i="7" s="1"/>
  <c r="Z28" i="7"/>
  <c r="G27" i="7"/>
  <c r="L26" i="9" l="1"/>
  <c r="R32" i="15"/>
  <c r="BJ32" i="15"/>
  <c r="BC32" i="15"/>
  <c r="BK32" i="15"/>
  <c r="BF32" i="15"/>
  <c r="BG32" i="15"/>
  <c r="BH32" i="15"/>
  <c r="BI32" i="15"/>
  <c r="BD32" i="15"/>
  <c r="BE32" i="15"/>
  <c r="AA28" i="7"/>
  <c r="BB32" i="15" l="1"/>
  <c r="L32" i="15" s="1"/>
  <c r="U27" i="7" s="1"/>
  <c r="V27" i="7" s="1"/>
  <c r="AR32" i="15"/>
  <c r="AZ32" i="15"/>
  <c r="AS32" i="15"/>
  <c r="AT32" i="15"/>
  <c r="AU32" i="15"/>
  <c r="AV32" i="15"/>
  <c r="AW32" i="15"/>
  <c r="AX32" i="15"/>
  <c r="AY32" i="15"/>
  <c r="AQ32" i="15" l="1"/>
  <c r="S32" i="15" s="1"/>
  <c r="U32" i="15" s="1"/>
  <c r="V32" i="15" s="1"/>
  <c r="S28" i="7"/>
  <c r="P28" i="7" s="1"/>
  <c r="W28" i="7"/>
  <c r="F27" i="7"/>
  <c r="F33" i="15" l="1"/>
  <c r="G33" i="15" s="1"/>
  <c r="M27" i="9"/>
  <c r="D80" i="13"/>
  <c r="AG32" i="15"/>
  <c r="AO32" i="15"/>
  <c r="AH32" i="15"/>
  <c r="AI32" i="15"/>
  <c r="AJ32" i="15"/>
  <c r="AK32" i="15"/>
  <c r="AD32" i="15"/>
  <c r="AL32" i="15"/>
  <c r="AE32" i="15"/>
  <c r="AF32" i="15"/>
  <c r="AN32" i="15"/>
  <c r="AC32" i="15" l="1"/>
  <c r="AA32" i="15" s="1"/>
  <c r="BM33" i="15"/>
  <c r="BN33" i="15" s="1"/>
  <c r="BX33" i="15" s="1"/>
  <c r="BT33" i="15" s="1"/>
  <c r="BO33" i="15" s="1"/>
  <c r="BY33" i="15" s="1"/>
  <c r="BU33" i="15" s="1"/>
  <c r="N26" i="9" l="1"/>
  <c r="BP33" i="15"/>
  <c r="O26" i="9" l="1"/>
  <c r="E79" i="13" s="1"/>
  <c r="J79" i="13" s="1"/>
  <c r="P26" i="9"/>
  <c r="F79" i="13" s="1"/>
  <c r="BV33" i="15"/>
  <c r="BW33" i="15"/>
  <c r="BS33" i="15" s="1"/>
  <c r="BR33" i="15" l="1"/>
  <c r="K28" i="7" s="1"/>
  <c r="N28" i="7" s="1"/>
  <c r="H27" i="7"/>
  <c r="E27" i="7" s="1"/>
  <c r="L79" i="13" s="1"/>
  <c r="N79" i="13" s="1"/>
  <c r="O79" i="13" s="1"/>
  <c r="N33" i="15" l="1"/>
  <c r="O33" i="15" s="1"/>
  <c r="AR28" i="7"/>
  <c r="AZ28" i="7"/>
  <c r="M28" i="7"/>
  <c r="AJ28" i="7" l="1"/>
  <c r="AK28" i="7" s="1"/>
  <c r="AB28" i="7"/>
  <c r="L28" i="7"/>
  <c r="T28" i="7" s="1"/>
  <c r="BA28" i="7"/>
  <c r="BC28" i="7"/>
  <c r="AS28" i="7"/>
  <c r="AU28" i="7"/>
  <c r="I28" i="7" l="1"/>
  <c r="AO29" i="7"/>
  <c r="AT29" i="7" s="1"/>
  <c r="AP29" i="7"/>
  <c r="AW29" i="7"/>
  <c r="BB29" i="7" s="1"/>
  <c r="AX29" i="7"/>
  <c r="AC28" i="7"/>
  <c r="AE28" i="7"/>
  <c r="Q28" i="7" s="1"/>
  <c r="I33" i="15" s="1"/>
  <c r="K33" i="15" s="1"/>
  <c r="AH29" i="7"/>
  <c r="AG29" i="7"/>
  <c r="AL29" i="7" s="1"/>
  <c r="AY29" i="7" l="1"/>
  <c r="AI29" i="7"/>
  <c r="AM29" i="7" s="1"/>
  <c r="W33" i="15"/>
  <c r="Q33" i="15"/>
  <c r="Y29" i="7"/>
  <c r="AD29" i="7" s="1"/>
  <c r="Z29" i="7"/>
  <c r="G28" i="7"/>
  <c r="AQ29" i="7"/>
  <c r="R33" i="15" l="1"/>
  <c r="L27" i="9"/>
  <c r="BJ33" i="15"/>
  <c r="BC33" i="15"/>
  <c r="BK33" i="15"/>
  <c r="BI33" i="15"/>
  <c r="BG33" i="15"/>
  <c r="BH33" i="15"/>
  <c r="BD33" i="15"/>
  <c r="BE33" i="15"/>
  <c r="BF33" i="15"/>
  <c r="AA29" i="7"/>
  <c r="BB33" i="15" l="1"/>
  <c r="L33" i="15" s="1"/>
  <c r="U28" i="7" s="1"/>
  <c r="V28" i="7" s="1"/>
  <c r="AW33" i="15"/>
  <c r="AX33" i="15"/>
  <c r="AY33" i="15"/>
  <c r="AR33" i="15"/>
  <c r="AZ33" i="15"/>
  <c r="AS33" i="15"/>
  <c r="AT33" i="15"/>
  <c r="AU33" i="15"/>
  <c r="AV33" i="15"/>
  <c r="AQ33" i="15" l="1"/>
  <c r="S33" i="15" s="1"/>
  <c r="U33" i="15" s="1"/>
  <c r="V33" i="15" s="1"/>
  <c r="S29" i="7"/>
  <c r="P29" i="7" s="1"/>
  <c r="W29" i="7"/>
  <c r="F28" i="7"/>
  <c r="M28" i="9" l="1"/>
  <c r="F34" i="15"/>
  <c r="G34" i="15" s="1"/>
  <c r="D81" i="13"/>
  <c r="AD33" i="15"/>
  <c r="AL33" i="15"/>
  <c r="AE33" i="15"/>
  <c r="AF33" i="15"/>
  <c r="AN33" i="15"/>
  <c r="AG33" i="15"/>
  <c r="AO33" i="15"/>
  <c r="AH33" i="15"/>
  <c r="AI33" i="15"/>
  <c r="AJ33" i="15"/>
  <c r="AK33" i="15"/>
  <c r="AC33" i="15" l="1"/>
  <c r="AA33" i="15" s="1"/>
  <c r="BM34" i="15"/>
  <c r="BN34" i="15" s="1"/>
  <c r="BX34" i="15" s="1"/>
  <c r="BT34" i="15" s="1"/>
  <c r="BO34" i="15" s="1"/>
  <c r="BY34" i="15" s="1"/>
  <c r="BU34" i="15" s="1"/>
  <c r="N27" i="9" l="1"/>
  <c r="BP34" i="15"/>
  <c r="O27" i="9" l="1"/>
  <c r="E80" i="13" s="1"/>
  <c r="J80" i="13" s="1"/>
  <c r="P27" i="9"/>
  <c r="F80" i="13" s="1"/>
  <c r="BV34" i="15"/>
  <c r="BW34" i="15"/>
  <c r="BS34" i="15" s="1"/>
  <c r="H28" i="7" l="1"/>
  <c r="E28" i="7" s="1"/>
  <c r="L80" i="13" s="1"/>
  <c r="N80" i="13" s="1"/>
  <c r="O80" i="13" s="1"/>
  <c r="BR34" i="15"/>
  <c r="K29" i="7" s="1"/>
  <c r="N29" i="7" s="1"/>
  <c r="N34" i="15" l="1"/>
  <c r="O34" i="15" s="1"/>
  <c r="AZ29" i="7"/>
  <c r="AR29" i="7"/>
  <c r="M29" i="7"/>
  <c r="AJ29" i="7" l="1"/>
  <c r="AK29" i="7" s="1"/>
  <c r="AB29" i="7"/>
  <c r="L29" i="7"/>
  <c r="T29" i="7" s="1"/>
  <c r="BA29" i="7"/>
  <c r="BC29" i="7"/>
  <c r="AS29" i="7"/>
  <c r="AU29" i="7"/>
  <c r="AW30" i="7" l="1"/>
  <c r="BB30" i="7" s="1"/>
  <c r="AX30" i="7"/>
  <c r="AO30" i="7"/>
  <c r="AT30" i="7" s="1"/>
  <c r="I29" i="7"/>
  <c r="AP30" i="7"/>
  <c r="AC29" i="7"/>
  <c r="AE29" i="7"/>
  <c r="Q29" i="7" s="1"/>
  <c r="I34" i="15" s="1"/>
  <c r="K34" i="15" s="1"/>
  <c r="AH30" i="7"/>
  <c r="AG30" i="7"/>
  <c r="AL30" i="7" s="1"/>
  <c r="AQ30" i="7" l="1"/>
  <c r="AY30" i="7"/>
  <c r="AI30" i="7"/>
  <c r="AM30" i="7" s="1"/>
  <c r="W34" i="15"/>
  <c r="Q34" i="15"/>
  <c r="G29" i="7"/>
  <c r="Z30" i="7"/>
  <c r="Y30" i="7"/>
  <c r="AD30" i="7" s="1"/>
  <c r="L28" i="9" l="1"/>
  <c r="R34" i="15"/>
  <c r="AA30" i="7"/>
  <c r="BJ34" i="15"/>
  <c r="BC34" i="15"/>
  <c r="BK34" i="15"/>
  <c r="BE34" i="15"/>
  <c r="BF34" i="15"/>
  <c r="BG34" i="15"/>
  <c r="BH34" i="15"/>
  <c r="BI34" i="15"/>
  <c r="BD34" i="15"/>
  <c r="BB34" i="15" l="1"/>
  <c r="L34" i="15" s="1"/>
  <c r="U29" i="7" s="1"/>
  <c r="V29" i="7" s="1"/>
  <c r="AT34" i="15"/>
  <c r="AU34" i="15"/>
  <c r="AV34" i="15"/>
  <c r="AW34" i="15"/>
  <c r="AX34" i="15"/>
  <c r="AY34" i="15"/>
  <c r="AR34" i="15"/>
  <c r="AZ34" i="15"/>
  <c r="AS34" i="15"/>
  <c r="AQ34" i="15" l="1"/>
  <c r="S34" i="15" s="1"/>
  <c r="U34" i="15" s="1"/>
  <c r="V34" i="15" s="1"/>
  <c r="S30" i="7"/>
  <c r="P30" i="7" s="1"/>
  <c r="W30" i="7"/>
  <c r="F29" i="7"/>
  <c r="M29" i="9" l="1"/>
  <c r="F35" i="15"/>
  <c r="G35" i="15" s="1"/>
  <c r="D82" i="13"/>
  <c r="AI34" i="15"/>
  <c r="AJ34" i="15"/>
  <c r="AK34" i="15"/>
  <c r="AD34" i="15"/>
  <c r="AL34" i="15"/>
  <c r="AE34" i="15"/>
  <c r="AF34" i="15"/>
  <c r="AN34" i="15"/>
  <c r="AG34" i="15"/>
  <c r="AO34" i="15"/>
  <c r="AH34" i="15"/>
  <c r="BM35" i="15" l="1"/>
  <c r="BN35" i="15" s="1"/>
  <c r="BX35" i="15" s="1"/>
  <c r="BT35" i="15" s="1"/>
  <c r="BO35" i="15" s="1"/>
  <c r="BY35" i="15" s="1"/>
  <c r="BU35" i="15" s="1"/>
  <c r="AC34" i="15"/>
  <c r="AA34" i="15" s="1"/>
  <c r="N28" i="9" l="1"/>
  <c r="BP35" i="15"/>
  <c r="P28" i="9" l="1"/>
  <c r="H29" i="7" s="1"/>
  <c r="E29" i="7" s="1"/>
  <c r="L81" i="13" s="1"/>
  <c r="N81" i="13" s="1"/>
  <c r="O81" i="13" s="1"/>
  <c r="O28" i="9"/>
  <c r="E81" i="13" s="1"/>
  <c r="J81" i="13" s="1"/>
  <c r="BV35" i="15"/>
  <c r="BW35" i="15"/>
  <c r="BS35" i="15" s="1"/>
  <c r="F81" i="13" l="1"/>
  <c r="BR35" i="15"/>
  <c r="K30" i="7" s="1"/>
  <c r="N30" i="7" s="1"/>
  <c r="M30" i="7" s="1"/>
  <c r="AJ30" i="7" l="1"/>
  <c r="AK30" i="7" s="1"/>
  <c r="AB30" i="7"/>
  <c r="L30" i="7"/>
  <c r="T30" i="7" s="1"/>
  <c r="N35" i="15"/>
  <c r="O35" i="15" s="1"/>
  <c r="AZ30" i="7"/>
  <c r="AR30" i="7"/>
  <c r="BA30" i="7" l="1"/>
  <c r="BC30" i="7"/>
  <c r="AS30" i="7"/>
  <c r="AU30" i="7"/>
  <c r="AC30" i="7"/>
  <c r="AE30" i="7"/>
  <c r="Q30" i="7" s="1"/>
  <c r="I35" i="15" s="1"/>
  <c r="K35" i="15" s="1"/>
  <c r="AH31" i="7"/>
  <c r="AG31" i="7"/>
  <c r="AL31" i="7" s="1"/>
  <c r="W35" i="15" l="1"/>
  <c r="Q35" i="15"/>
  <c r="G30" i="7"/>
  <c r="Z31" i="7"/>
  <c r="Y31" i="7"/>
  <c r="AD31" i="7" s="1"/>
  <c r="AI31" i="7"/>
  <c r="AM31" i="7" s="1"/>
  <c r="I30" i="7"/>
  <c r="AO31" i="7"/>
  <c r="AT31" i="7" s="1"/>
  <c r="AP31" i="7"/>
  <c r="AW31" i="7"/>
  <c r="BB31" i="7" s="1"/>
  <c r="AX31" i="7"/>
  <c r="AY31" i="7" l="1"/>
  <c r="AQ31" i="7"/>
  <c r="L29" i="9"/>
  <c r="R35" i="15"/>
  <c r="AA31" i="7"/>
  <c r="BJ35" i="15"/>
  <c r="BC35" i="15"/>
  <c r="BK35" i="15"/>
  <c r="BE35" i="15"/>
  <c r="BF35" i="15"/>
  <c r="BG35" i="15"/>
  <c r="BH35" i="15"/>
  <c r="BI35" i="15"/>
  <c r="BD35" i="15"/>
  <c r="AR35" i="15" l="1"/>
  <c r="AZ35" i="15"/>
  <c r="AS35" i="15"/>
  <c r="AT35" i="15"/>
  <c r="AU35" i="15"/>
  <c r="AV35" i="15"/>
  <c r="AW35" i="15"/>
  <c r="AX35" i="15"/>
  <c r="AY35" i="15"/>
  <c r="BB35" i="15"/>
  <c r="L35" i="15" s="1"/>
  <c r="U30" i="7" s="1"/>
  <c r="V30" i="7" s="1"/>
  <c r="S31" i="7" l="1"/>
  <c r="P31" i="7" s="1"/>
  <c r="W31" i="7"/>
  <c r="F30" i="7"/>
  <c r="AQ35" i="15"/>
  <c r="S35" i="15" s="1"/>
  <c r="U35" i="15" s="1"/>
  <c r="V35" i="15" s="1"/>
  <c r="AG35" i="15" l="1"/>
  <c r="AO35" i="15"/>
  <c r="AH35" i="15"/>
  <c r="AI35" i="15"/>
  <c r="AJ35" i="15"/>
  <c r="AK35" i="15"/>
  <c r="AD35" i="15"/>
  <c r="AL35" i="15"/>
  <c r="AE35" i="15"/>
  <c r="AF35" i="15"/>
  <c r="AN35" i="15"/>
  <c r="M30" i="9"/>
  <c r="F36" i="15"/>
  <c r="G36" i="15" s="1"/>
  <c r="D83" i="13"/>
  <c r="BM36" i="15" l="1"/>
  <c r="BN36" i="15" s="1"/>
  <c r="BX36" i="15" s="1"/>
  <c r="BT36" i="15" s="1"/>
  <c r="BO36" i="15" s="1"/>
  <c r="BY36" i="15" s="1"/>
  <c r="BU36" i="15" s="1"/>
  <c r="AC35" i="15"/>
  <c r="AA35" i="15" s="1"/>
  <c r="N29" i="9" l="1"/>
  <c r="BP36" i="15"/>
  <c r="P29" i="9" l="1"/>
  <c r="F82" i="13" s="1"/>
  <c r="O29" i="9"/>
  <c r="E82" i="13" s="1"/>
  <c r="J82" i="13" s="1"/>
  <c r="BV36" i="15"/>
  <c r="BW36" i="15"/>
  <c r="BS36" i="15" s="1"/>
  <c r="BR36" i="15" s="1"/>
  <c r="K31" i="7" s="1"/>
  <c r="H30" i="7"/>
  <c r="E30" i="7" s="1"/>
  <c r="L82" i="13" s="1"/>
  <c r="N82" i="13" s="1"/>
  <c r="O82" i="13" s="1"/>
  <c r="N31" i="7" l="1"/>
  <c r="N36" i="15" l="1"/>
  <c r="O36" i="15" s="1"/>
  <c r="AR31" i="7"/>
  <c r="AZ31" i="7"/>
  <c r="M31" i="7"/>
  <c r="AJ31" i="7" l="1"/>
  <c r="AK31" i="7" s="1"/>
  <c r="AB31" i="7"/>
  <c r="L31" i="7"/>
  <c r="T31" i="7" s="1"/>
  <c r="AS31" i="7"/>
  <c r="AU31" i="7"/>
  <c r="BA31" i="7"/>
  <c r="BC31" i="7"/>
  <c r="I31" i="7" l="1"/>
  <c r="AO32" i="7"/>
  <c r="AT32" i="7" s="1"/>
  <c r="AP32" i="7"/>
  <c r="AW32" i="7"/>
  <c r="BB32" i="7" s="1"/>
  <c r="AX32" i="7"/>
  <c r="AC31" i="7"/>
  <c r="AE31" i="7"/>
  <c r="Q31" i="7" s="1"/>
  <c r="I36" i="15" s="1"/>
  <c r="K36" i="15" s="1"/>
  <c r="AH32" i="7"/>
  <c r="AG32" i="7"/>
  <c r="AL32" i="7" s="1"/>
  <c r="AQ32" i="7" l="1"/>
  <c r="G31" i="7"/>
  <c r="Y32" i="7"/>
  <c r="AD32" i="7" s="1"/>
  <c r="Z32" i="7"/>
  <c r="W36" i="15"/>
  <c r="Q36" i="15"/>
  <c r="AI32" i="7"/>
  <c r="AM32" i="7" s="1"/>
  <c r="AY32" i="7"/>
  <c r="AA32" i="7" l="1"/>
  <c r="R36" i="15"/>
  <c r="L30" i="9"/>
  <c r="BE36" i="15"/>
  <c r="BF36" i="15"/>
  <c r="BG36" i="15"/>
  <c r="BH36" i="15"/>
  <c r="BI36" i="15"/>
  <c r="BJ36" i="15"/>
  <c r="BC36" i="15"/>
  <c r="BK36" i="15"/>
  <c r="BD36" i="15"/>
  <c r="AX36" i="15" l="1"/>
  <c r="AY36" i="15"/>
  <c r="AR36" i="15"/>
  <c r="AZ36" i="15"/>
  <c r="AS36" i="15"/>
  <c r="AT36" i="15"/>
  <c r="AU36" i="15"/>
  <c r="AV36" i="15"/>
  <c r="AW36" i="15"/>
  <c r="BB36" i="15"/>
  <c r="L36" i="15" s="1"/>
  <c r="U31" i="7" s="1"/>
  <c r="V31" i="7" s="1"/>
  <c r="AQ36" i="15" l="1"/>
  <c r="S36" i="15" s="1"/>
  <c r="U36" i="15" s="1"/>
  <c r="V36" i="15" s="1"/>
  <c r="W32" i="7"/>
  <c r="S32" i="7"/>
  <c r="P32" i="7" s="1"/>
  <c r="F31" i="7"/>
  <c r="M31" i="9" l="1"/>
  <c r="F37" i="15"/>
  <c r="G37" i="15" s="1"/>
  <c r="D84" i="13"/>
  <c r="AE36" i="15"/>
  <c r="AF36" i="15"/>
  <c r="AN36" i="15"/>
  <c r="AG36" i="15"/>
  <c r="AO36" i="15"/>
  <c r="AH36" i="15"/>
  <c r="AI36" i="15"/>
  <c r="AJ36" i="15"/>
  <c r="AK36" i="15"/>
  <c r="AD36" i="15"/>
  <c r="AL36" i="15"/>
  <c r="AC36" i="15" l="1"/>
  <c r="AA36" i="15" s="1"/>
  <c r="BM37" i="15"/>
  <c r="BN37" i="15" s="1"/>
  <c r="BX37" i="15" s="1"/>
  <c r="BT37" i="15" s="1"/>
  <c r="BO37" i="15" s="1"/>
  <c r="BY37" i="15" s="1"/>
  <c r="BU37" i="15" s="1"/>
  <c r="N30" i="9" l="1"/>
  <c r="BP37" i="15"/>
  <c r="O30" i="9" l="1"/>
  <c r="E83" i="13" s="1"/>
  <c r="J83" i="13" s="1"/>
  <c r="P30" i="9"/>
  <c r="F83" i="13" s="1"/>
  <c r="BW37" i="15"/>
  <c r="BS37" i="15" s="1"/>
  <c r="BV37" i="15"/>
  <c r="H31" i="7" l="1"/>
  <c r="E31" i="7" s="1"/>
  <c r="L83" i="13" s="1"/>
  <c r="N83" i="13" s="1"/>
  <c r="BR37" i="15"/>
  <c r="K32" i="7" s="1"/>
  <c r="N32" i="7" s="1"/>
  <c r="M32" i="7" s="1"/>
  <c r="H55" i="13" l="1"/>
  <c r="AJ32" i="7"/>
  <c r="AK32" i="7" s="1"/>
  <c r="AB32" i="7"/>
  <c r="L32" i="7"/>
  <c r="T32" i="7" s="1"/>
  <c r="N37" i="15"/>
  <c r="O37" i="15" s="1"/>
  <c r="AR32" i="7"/>
  <c r="AZ32" i="7"/>
  <c r="O83" i="13"/>
  <c r="I55" i="13"/>
  <c r="BA32" i="7" l="1"/>
  <c r="BC32" i="7"/>
  <c r="AS32" i="7"/>
  <c r="AU32" i="7"/>
  <c r="AC32" i="7"/>
  <c r="AE32" i="7"/>
  <c r="Q32" i="7" s="1"/>
  <c r="I37" i="15" s="1"/>
  <c r="K37" i="15" s="1"/>
  <c r="AH33" i="7"/>
  <c r="AG33" i="7"/>
  <c r="AL33" i="7" s="1"/>
  <c r="W37" i="15" l="1"/>
  <c r="Q37" i="15"/>
  <c r="AI33" i="7"/>
  <c r="AM33" i="7" s="1"/>
  <c r="I32" i="7"/>
  <c r="AO33" i="7"/>
  <c r="AT33" i="7" s="1"/>
  <c r="AP33" i="7"/>
  <c r="G32" i="7"/>
  <c r="Y33" i="7"/>
  <c r="AD33" i="7" s="1"/>
  <c r="Z33" i="7"/>
  <c r="AW33" i="7"/>
  <c r="BB33" i="7" s="1"/>
  <c r="AX33" i="7"/>
  <c r="AA33" i="7" l="1"/>
  <c r="AQ33" i="7"/>
  <c r="AY33" i="7"/>
  <c r="L31" i="9"/>
  <c r="R37" i="15"/>
  <c r="BE37" i="15"/>
  <c r="BF37" i="15"/>
  <c r="BG37" i="15"/>
  <c r="BH37" i="15"/>
  <c r="BI37" i="15"/>
  <c r="BJ37" i="15"/>
  <c r="BC37" i="15"/>
  <c r="BK37" i="15"/>
  <c r="BD37" i="15"/>
  <c r="BB37" i="15" l="1"/>
  <c r="L37" i="15" s="1"/>
  <c r="U32" i="7" s="1"/>
  <c r="V32" i="7" s="1"/>
  <c r="W33" i="7" s="1"/>
  <c r="AU37" i="15"/>
  <c r="AV37" i="15"/>
  <c r="AW37" i="15"/>
  <c r="AX37" i="15"/>
  <c r="AY37" i="15"/>
  <c r="AR37" i="15"/>
  <c r="AZ37" i="15"/>
  <c r="AS37" i="15"/>
  <c r="AT37" i="15"/>
  <c r="S33" i="7" l="1"/>
  <c r="P33" i="7" s="1"/>
  <c r="F38" i="15" s="1"/>
  <c r="G38" i="15" s="1"/>
  <c r="F32" i="7"/>
  <c r="AQ37" i="15"/>
  <c r="S37" i="15" s="1"/>
  <c r="U37" i="15" s="1"/>
  <c r="V37" i="15" s="1"/>
  <c r="D85" i="13" l="1"/>
  <c r="M32" i="9"/>
  <c r="AJ37" i="15"/>
  <c r="AK37" i="15"/>
  <c r="AD37" i="15"/>
  <c r="AL37" i="15"/>
  <c r="AE37" i="15"/>
  <c r="AF37" i="15"/>
  <c r="AN37" i="15"/>
  <c r="AG37" i="15"/>
  <c r="AO37" i="15"/>
  <c r="AH37" i="15"/>
  <c r="AI37" i="15"/>
  <c r="BM38" i="15"/>
  <c r="BN38" i="15" s="1"/>
  <c r="BX38" i="15" s="1"/>
  <c r="BT38" i="15" s="1"/>
  <c r="BO38" i="15" s="1"/>
  <c r="BY38" i="15" s="1"/>
  <c r="BU38" i="15" s="1"/>
  <c r="BP38" i="15" l="1"/>
  <c r="AC37" i="15"/>
  <c r="AA37" i="15" s="1"/>
  <c r="N31" i="9" l="1"/>
  <c r="BW38" i="15"/>
  <c r="BS38" i="15" s="1"/>
  <c r="BV38" i="15"/>
  <c r="O31" i="9" l="1"/>
  <c r="E84" i="13" s="1"/>
  <c r="J84" i="13" s="1"/>
  <c r="P31" i="9"/>
  <c r="F84" i="13" s="1"/>
  <c r="BR38" i="15"/>
  <c r="K33" i="7" s="1"/>
  <c r="N33" i="7" s="1"/>
  <c r="M33" i="7" s="1"/>
  <c r="H32" i="7"/>
  <c r="E32" i="7" s="1"/>
  <c r="L84" i="13" s="1"/>
  <c r="N84" i="13" s="1"/>
  <c r="O84" i="13" s="1"/>
  <c r="N38" i="15" l="1"/>
  <c r="O38" i="15" s="1"/>
  <c r="AZ33" i="7"/>
  <c r="AR33" i="7"/>
  <c r="AB33" i="7"/>
  <c r="AJ33" i="7"/>
  <c r="AK33" i="7" s="1"/>
  <c r="L33" i="7"/>
  <c r="T33" i="7" s="1"/>
  <c r="AH34" i="7" l="1"/>
  <c r="AG34" i="7"/>
  <c r="AL34" i="7" s="1"/>
  <c r="AC33" i="7"/>
  <c r="AE33" i="7"/>
  <c r="Q33" i="7" s="1"/>
  <c r="I38" i="15" s="1"/>
  <c r="K38" i="15" s="1"/>
  <c r="AS33" i="7"/>
  <c r="AU33" i="7"/>
  <c r="BA33" i="7"/>
  <c r="BC33" i="7"/>
  <c r="AI34" i="7" l="1"/>
  <c r="AM34" i="7" s="1"/>
  <c r="W38" i="15"/>
  <c r="Q38" i="15"/>
  <c r="G33" i="7"/>
  <c r="Y34" i="7"/>
  <c r="AD34" i="7" s="1"/>
  <c r="Z34" i="7"/>
  <c r="AW34" i="7"/>
  <c r="BB34" i="7" s="1"/>
  <c r="AX34" i="7"/>
  <c r="I33" i="7"/>
  <c r="AO34" i="7"/>
  <c r="AT34" i="7" s="1"/>
  <c r="AP34" i="7"/>
  <c r="AQ34" i="7" l="1"/>
  <c r="AA34" i="7"/>
  <c r="AY34" i="7"/>
  <c r="L32" i="9"/>
  <c r="R38" i="15"/>
  <c r="BE38" i="15"/>
  <c r="BF38" i="15"/>
  <c r="BG38" i="15"/>
  <c r="BH38" i="15"/>
  <c r="BI38" i="15"/>
  <c r="BJ38" i="15"/>
  <c r="BC38" i="15"/>
  <c r="BK38" i="15"/>
  <c r="BD38" i="15"/>
  <c r="BB38" i="15" l="1"/>
  <c r="L38" i="15" s="1"/>
  <c r="U33" i="7" s="1"/>
  <c r="V33" i="7" s="1"/>
  <c r="W34" i="7" s="1"/>
  <c r="AR38" i="15"/>
  <c r="AZ38" i="15"/>
  <c r="AS38" i="15"/>
  <c r="AT38" i="15"/>
  <c r="AU38" i="15"/>
  <c r="AV38" i="15"/>
  <c r="AW38" i="15"/>
  <c r="AX38" i="15"/>
  <c r="AY38" i="15"/>
  <c r="F33" i="7" l="1"/>
  <c r="S34" i="7"/>
  <c r="P34" i="7" s="1"/>
  <c r="M33" i="9" s="1"/>
  <c r="AQ38" i="15"/>
  <c r="S38" i="15" s="1"/>
  <c r="U38" i="15" s="1"/>
  <c r="V38" i="15" s="1"/>
  <c r="D86" i="13" l="1"/>
  <c r="F39" i="15"/>
  <c r="G39" i="15" s="1"/>
  <c r="BM39" i="15" s="1"/>
  <c r="BN39" i="15" s="1"/>
  <c r="BX39" i="15" s="1"/>
  <c r="BT39" i="15" s="1"/>
  <c r="BO39" i="15" s="1"/>
  <c r="BY39" i="15" s="1"/>
  <c r="BU39" i="15" s="1"/>
  <c r="AG38" i="15"/>
  <c r="AO38" i="15"/>
  <c r="AH38" i="15"/>
  <c r="AI38" i="15"/>
  <c r="AJ38" i="15"/>
  <c r="AK38" i="15"/>
  <c r="AD38" i="15"/>
  <c r="AL38" i="15"/>
  <c r="AE38" i="15"/>
  <c r="AF38" i="15"/>
  <c r="AN38" i="15"/>
  <c r="AC38" i="15" l="1"/>
  <c r="AA38" i="15" s="1"/>
  <c r="BP39" i="15"/>
  <c r="N32" i="9" l="1"/>
  <c r="P32" i="9" s="1"/>
  <c r="F85" i="13" s="1"/>
  <c r="BW39" i="15"/>
  <c r="BS39" i="15" s="1"/>
  <c r="BV39" i="15"/>
  <c r="H33" i="7" l="1"/>
  <c r="E33" i="7" s="1"/>
  <c r="L85" i="13" s="1"/>
  <c r="N85" i="13" s="1"/>
  <c r="O85" i="13" s="1"/>
  <c r="O32" i="9"/>
  <c r="E85" i="13" s="1"/>
  <c r="J85" i="13" s="1"/>
  <c r="BR39" i="15"/>
  <c r="K34" i="7" s="1"/>
  <c r="N34" i="7" s="1"/>
  <c r="M34" i="7" s="1"/>
  <c r="AB34" i="7" l="1"/>
  <c r="AJ34" i="7"/>
  <c r="AK34" i="7" s="1"/>
  <c r="L34" i="7"/>
  <c r="T34" i="7" s="1"/>
  <c r="N39" i="15"/>
  <c r="O39" i="15" s="1"/>
  <c r="AR34" i="7"/>
  <c r="AZ34" i="7"/>
  <c r="BA34" i="7" l="1"/>
  <c r="BC34" i="7"/>
  <c r="AS34" i="7"/>
  <c r="AU34" i="7"/>
  <c r="AH35" i="7"/>
  <c r="AG35" i="7"/>
  <c r="AL35" i="7" s="1"/>
  <c r="AC34" i="7"/>
  <c r="AE34" i="7"/>
  <c r="Q34" i="7" s="1"/>
  <c r="I39" i="15" s="1"/>
  <c r="K39" i="15" s="1"/>
  <c r="I34" i="7" l="1"/>
  <c r="AO35" i="7"/>
  <c r="AT35" i="7" s="1"/>
  <c r="AP35" i="7"/>
  <c r="W39" i="15"/>
  <c r="Q39" i="15"/>
  <c r="Y35" i="7"/>
  <c r="AD35" i="7" s="1"/>
  <c r="Z35" i="7"/>
  <c r="G34" i="7"/>
  <c r="AI35" i="7"/>
  <c r="AM35" i="7" s="1"/>
  <c r="AW35" i="7"/>
  <c r="BB35" i="7" s="1"/>
  <c r="AX35" i="7"/>
  <c r="AQ35" i="7" l="1"/>
  <c r="AA35" i="7"/>
  <c r="BE39" i="15"/>
  <c r="BF39" i="15"/>
  <c r="BG39" i="15"/>
  <c r="BH39" i="15"/>
  <c r="BI39" i="15"/>
  <c r="BJ39" i="15"/>
  <c r="BC39" i="15"/>
  <c r="BK39" i="15"/>
  <c r="BD39" i="15"/>
  <c r="R39" i="15"/>
  <c r="L33" i="9"/>
  <c r="AY35" i="7"/>
  <c r="BB39" i="15" l="1"/>
  <c r="L39" i="15" s="1"/>
  <c r="U34" i="7" s="1"/>
  <c r="V34" i="7" s="1"/>
  <c r="W35" i="7" s="1"/>
  <c r="AT39" i="15"/>
  <c r="AU39" i="15"/>
  <c r="AV39" i="15"/>
  <c r="AW39" i="15"/>
  <c r="AX39" i="15"/>
  <c r="AY39" i="15"/>
  <c r="AR39" i="15"/>
  <c r="AZ39" i="15"/>
  <c r="AS39" i="15"/>
  <c r="F34" i="7" l="1"/>
  <c r="S35" i="7"/>
  <c r="P35" i="7" s="1"/>
  <c r="M34" i="9" s="1"/>
  <c r="AQ39" i="15"/>
  <c r="S39" i="15" s="1"/>
  <c r="U39" i="15" s="1"/>
  <c r="V39" i="15" s="1"/>
  <c r="D87" i="13" l="1"/>
  <c r="F40" i="15"/>
  <c r="G40" i="15" s="1"/>
  <c r="BM40" i="15" s="1"/>
  <c r="BN40" i="15" s="1"/>
  <c r="BX40" i="15" s="1"/>
  <c r="BT40" i="15" s="1"/>
  <c r="BO40" i="15" s="1"/>
  <c r="BY40" i="15" s="1"/>
  <c r="BU40" i="15" s="1"/>
  <c r="AI39" i="15"/>
  <c r="AJ39" i="15"/>
  <c r="AK39" i="15"/>
  <c r="AD39" i="15"/>
  <c r="AL39" i="15"/>
  <c r="AE39" i="15"/>
  <c r="AF39" i="15"/>
  <c r="AN39" i="15"/>
  <c r="AG39" i="15"/>
  <c r="AO39" i="15"/>
  <c r="AH39" i="15"/>
  <c r="AC39" i="15" l="1"/>
  <c r="AA39" i="15" s="1"/>
  <c r="BP40" i="15"/>
  <c r="N33" i="9" l="1"/>
  <c r="BW40" i="15"/>
  <c r="BS40" i="15" s="1"/>
  <c r="BV40" i="15"/>
  <c r="P33" i="9" l="1"/>
  <c r="F86" i="13" s="1"/>
  <c r="O33" i="9"/>
  <c r="E86" i="13" s="1"/>
  <c r="J86" i="13" s="1"/>
  <c r="BR40" i="15"/>
  <c r="K35" i="7" s="1"/>
  <c r="N35" i="7" s="1"/>
  <c r="H34" i="7" l="1"/>
  <c r="E34" i="7" s="1"/>
  <c r="L86" i="13" s="1"/>
  <c r="N86" i="13" s="1"/>
  <c r="O86" i="13" s="1"/>
  <c r="N40" i="15"/>
  <c r="O40" i="15" s="1"/>
  <c r="AR35" i="7"/>
  <c r="AZ35" i="7"/>
  <c r="M35" i="7"/>
  <c r="BA35" i="7" l="1"/>
  <c r="BC35" i="7"/>
  <c r="AS35" i="7"/>
  <c r="AU35" i="7"/>
  <c r="AB35" i="7"/>
  <c r="AJ35" i="7"/>
  <c r="AK35" i="7" s="1"/>
  <c r="L35" i="7"/>
  <c r="T35" i="7" s="1"/>
  <c r="AC35" i="7" l="1"/>
  <c r="AE35" i="7"/>
  <c r="Q35" i="7" s="1"/>
  <c r="I40" i="15" s="1"/>
  <c r="K40" i="15" s="1"/>
  <c r="AH36" i="7"/>
  <c r="AG36" i="7"/>
  <c r="AL36" i="7" s="1"/>
  <c r="I35" i="7"/>
  <c r="AO36" i="7"/>
  <c r="AT36" i="7" s="1"/>
  <c r="AP36" i="7"/>
  <c r="AW36" i="7"/>
  <c r="BB36" i="7" s="1"/>
  <c r="AX36" i="7"/>
  <c r="AY36" i="7" l="1"/>
  <c r="AI36" i="7"/>
  <c r="AM36" i="7" s="1"/>
  <c r="W40" i="15"/>
  <c r="Q40" i="15"/>
  <c r="AQ36" i="7"/>
  <c r="Y36" i="7"/>
  <c r="AD36" i="7" s="1"/>
  <c r="Z36" i="7"/>
  <c r="G35" i="7"/>
  <c r="AA36" i="7" l="1"/>
  <c r="BF40" i="15"/>
  <c r="BH40" i="15"/>
  <c r="BI40" i="15"/>
  <c r="BJ40" i="15"/>
  <c r="BC40" i="15"/>
  <c r="BK40" i="15"/>
  <c r="BD40" i="15"/>
  <c r="BE40" i="15"/>
  <c r="BG40" i="15"/>
  <c r="L34" i="9"/>
  <c r="R40" i="15"/>
  <c r="BB40" i="15" l="1"/>
  <c r="L40" i="15" s="1"/>
  <c r="U35" i="7" s="1"/>
  <c r="V35" i="7" s="1"/>
  <c r="S36" i="7" s="1"/>
  <c r="P36" i="7" s="1"/>
  <c r="AT40" i="15"/>
  <c r="AU40" i="15"/>
  <c r="AV40" i="15"/>
  <c r="AW40" i="15"/>
  <c r="AX40" i="15"/>
  <c r="AY40" i="15"/>
  <c r="AR40" i="15"/>
  <c r="AZ40" i="15"/>
  <c r="AS40" i="15"/>
  <c r="F35" i="7" l="1"/>
  <c r="W36" i="7"/>
  <c r="AQ40" i="15"/>
  <c r="S40" i="15" s="1"/>
  <c r="U40" i="15" s="1"/>
  <c r="V40" i="15" s="1"/>
  <c r="F41" i="15"/>
  <c r="G41" i="15" s="1"/>
  <c r="M35" i="9"/>
  <c r="D88" i="13"/>
  <c r="BM41" i="15" l="1"/>
  <c r="BN41" i="15" s="1"/>
  <c r="BX41" i="15" s="1"/>
  <c r="BT41" i="15" s="1"/>
  <c r="BO41" i="15" s="1"/>
  <c r="BY41" i="15" s="1"/>
  <c r="BU41" i="15" s="1"/>
  <c r="AI40" i="15"/>
  <c r="AJ40" i="15"/>
  <c r="AK40" i="15"/>
  <c r="AD40" i="15"/>
  <c r="AL40" i="15"/>
  <c r="AE40" i="15"/>
  <c r="AF40" i="15"/>
  <c r="AN40" i="15"/>
  <c r="AG40" i="15"/>
  <c r="AO40" i="15"/>
  <c r="AH40" i="15"/>
  <c r="AC40" i="15" l="1"/>
  <c r="AA40" i="15" s="1"/>
  <c r="BP41" i="15"/>
  <c r="N34" i="9" l="1"/>
  <c r="BW41" i="15"/>
  <c r="BS41" i="15" s="1"/>
  <c r="BV41" i="15"/>
  <c r="P34" i="9" l="1"/>
  <c r="O34" i="9"/>
  <c r="E87" i="13" s="1"/>
  <c r="J87" i="13" s="1"/>
  <c r="BR41" i="15"/>
  <c r="K36" i="7" s="1"/>
  <c r="N36" i="7" s="1"/>
  <c r="F87" i="13" l="1"/>
  <c r="H35" i="7"/>
  <c r="E35" i="7" s="1"/>
  <c r="L87" i="13" s="1"/>
  <c r="N87" i="13" s="1"/>
  <c r="O87" i="13" s="1"/>
  <c r="N41" i="15"/>
  <c r="O41" i="15" s="1"/>
  <c r="AZ36" i="7"/>
  <c r="AR36" i="7"/>
  <c r="M36" i="7"/>
  <c r="AJ36" i="7" l="1"/>
  <c r="AK36" i="7" s="1"/>
  <c r="AB36" i="7"/>
  <c r="L36" i="7"/>
  <c r="T36" i="7" s="1"/>
  <c r="BA36" i="7"/>
  <c r="BC36" i="7"/>
  <c r="AS36" i="7"/>
  <c r="AU36" i="7"/>
  <c r="AW37" i="7" l="1"/>
  <c r="BB37" i="7" s="1"/>
  <c r="AX37" i="7"/>
  <c r="I36" i="7"/>
  <c r="AO37" i="7"/>
  <c r="AT37" i="7" s="1"/>
  <c r="AP37" i="7"/>
  <c r="AC36" i="7"/>
  <c r="AE36" i="7"/>
  <c r="Q36" i="7" s="1"/>
  <c r="I41" i="15" s="1"/>
  <c r="K41" i="15" s="1"/>
  <c r="AH37" i="7"/>
  <c r="AG37" i="7"/>
  <c r="AL37" i="7" s="1"/>
  <c r="AY37" i="7" l="1"/>
  <c r="AQ37" i="7"/>
  <c r="W41" i="15"/>
  <c r="Q41" i="15"/>
  <c r="G36" i="7"/>
  <c r="Y37" i="7"/>
  <c r="AD37" i="7" s="1"/>
  <c r="Z37" i="7"/>
  <c r="AI37" i="7"/>
  <c r="AM37" i="7" s="1"/>
  <c r="R41" i="15" l="1"/>
  <c r="L35" i="9"/>
  <c r="BF41" i="15"/>
  <c r="BJ41" i="15"/>
  <c r="BC41" i="15"/>
  <c r="BK41" i="15"/>
  <c r="BD41" i="15"/>
  <c r="BE41" i="15"/>
  <c r="BG41" i="15"/>
  <c r="BH41" i="15"/>
  <c r="BI41" i="15"/>
  <c r="AA37" i="7"/>
  <c r="BB41" i="15" l="1"/>
  <c r="L41" i="15" s="1"/>
  <c r="U36" i="7" s="1"/>
  <c r="V36" i="7" s="1"/>
  <c r="AX41" i="15"/>
  <c r="AY41" i="15"/>
  <c r="AR41" i="15"/>
  <c r="AZ41" i="15"/>
  <c r="AS41" i="15"/>
  <c r="AT41" i="15"/>
  <c r="AU41" i="15"/>
  <c r="AV41" i="15"/>
  <c r="AW41" i="15"/>
  <c r="AQ41" i="15" l="1"/>
  <c r="S41" i="15" s="1"/>
  <c r="U41" i="15" s="1"/>
  <c r="V41" i="15" s="1"/>
  <c r="S37" i="7"/>
  <c r="P37" i="7" s="1"/>
  <c r="W37" i="7"/>
  <c r="F36" i="7"/>
  <c r="F42" i="15" l="1"/>
  <c r="G42" i="15" s="1"/>
  <c r="M36" i="9"/>
  <c r="D89" i="13"/>
  <c r="AE41" i="15"/>
  <c r="AF41" i="15"/>
  <c r="AN41" i="15"/>
  <c r="AG41" i="15"/>
  <c r="AO41" i="15"/>
  <c r="AH41" i="15"/>
  <c r="AI41" i="15"/>
  <c r="AJ41" i="15"/>
  <c r="AK41" i="15"/>
  <c r="AD41" i="15"/>
  <c r="AL41" i="15"/>
  <c r="BM42" i="15" l="1"/>
  <c r="BN42" i="15" s="1"/>
  <c r="BX42" i="15" s="1"/>
  <c r="BT42" i="15" s="1"/>
  <c r="BO42" i="15" s="1"/>
  <c r="BY42" i="15" s="1"/>
  <c r="BU42" i="15" s="1"/>
  <c r="AC41" i="15"/>
  <c r="AA41" i="15" s="1"/>
  <c r="N35" i="9" l="1"/>
  <c r="BP42" i="15"/>
  <c r="O35" i="9" l="1"/>
  <c r="E88" i="13" s="1"/>
  <c r="J88" i="13" s="1"/>
  <c r="P35" i="9"/>
  <c r="F88" i="13" s="1"/>
  <c r="BW42" i="15"/>
  <c r="BS42" i="15" s="1"/>
  <c r="BV42" i="15"/>
  <c r="H36" i="7" l="1"/>
  <c r="E36" i="7" s="1"/>
  <c r="L88" i="13" s="1"/>
  <c r="N88" i="13" s="1"/>
  <c r="O88" i="13" s="1"/>
  <c r="BR42" i="15"/>
  <c r="K37" i="7" s="1"/>
  <c r="N37" i="7" s="1"/>
  <c r="M37" i="7" s="1"/>
  <c r="AJ37" i="7" l="1"/>
  <c r="AK37" i="7" s="1"/>
  <c r="AB37" i="7"/>
  <c r="L37" i="7"/>
  <c r="T37" i="7" s="1"/>
  <c r="N42" i="15"/>
  <c r="O42" i="15" s="1"/>
  <c r="AZ37" i="7"/>
  <c r="AR37" i="7"/>
  <c r="BA37" i="7" l="1"/>
  <c r="BC37" i="7"/>
  <c r="AS37" i="7"/>
  <c r="AU37" i="7"/>
  <c r="AC37" i="7"/>
  <c r="AE37" i="7"/>
  <c r="Q37" i="7" s="1"/>
  <c r="I42" i="15" s="1"/>
  <c r="K42" i="15" s="1"/>
  <c r="AH38" i="7"/>
  <c r="AG38" i="7"/>
  <c r="AL38" i="7" s="1"/>
  <c r="Y38" i="7" l="1"/>
  <c r="AD38" i="7" s="1"/>
  <c r="G37" i="7"/>
  <c r="Z38" i="7"/>
  <c r="W42" i="15"/>
  <c r="Q42" i="15"/>
  <c r="AI38" i="7"/>
  <c r="AM38" i="7" s="1"/>
  <c r="I37" i="7"/>
  <c r="AO38" i="7"/>
  <c r="AT38" i="7" s="1"/>
  <c r="AP38" i="7"/>
  <c r="AW38" i="7"/>
  <c r="BB38" i="7" s="1"/>
  <c r="AX38" i="7"/>
  <c r="AQ38" i="7" l="1"/>
  <c r="AY38" i="7"/>
  <c r="AA38" i="7"/>
  <c r="BF42" i="15"/>
  <c r="BJ42" i="15"/>
  <c r="BC42" i="15"/>
  <c r="BK42" i="15"/>
  <c r="BD42" i="15"/>
  <c r="BE42" i="15"/>
  <c r="BG42" i="15"/>
  <c r="BH42" i="15"/>
  <c r="BI42" i="15"/>
  <c r="R42" i="15"/>
  <c r="L36" i="9"/>
  <c r="BB42" i="15" l="1"/>
  <c r="L42" i="15" s="1"/>
  <c r="U37" i="7" s="1"/>
  <c r="V37" i="7" s="1"/>
  <c r="AU42" i="15"/>
  <c r="AV42" i="15"/>
  <c r="AW42" i="15"/>
  <c r="AX42" i="15"/>
  <c r="AY42" i="15"/>
  <c r="AR42" i="15"/>
  <c r="AZ42" i="15"/>
  <c r="AS42" i="15"/>
  <c r="AT42" i="15"/>
  <c r="AQ42" i="15" l="1"/>
  <c r="S42" i="15" s="1"/>
  <c r="U42" i="15" s="1"/>
  <c r="V42" i="15" s="1"/>
  <c r="S38" i="7"/>
  <c r="P38" i="7" s="1"/>
  <c r="W38" i="7"/>
  <c r="F37" i="7"/>
  <c r="F43" i="15" l="1"/>
  <c r="G43" i="15" s="1"/>
  <c r="M37" i="9"/>
  <c r="D90" i="13"/>
  <c r="AJ42" i="15"/>
  <c r="AK42" i="15"/>
  <c r="AD42" i="15"/>
  <c r="AL42" i="15"/>
  <c r="AE42" i="15"/>
  <c r="AF42" i="15"/>
  <c r="AN42" i="15"/>
  <c r="AG42" i="15"/>
  <c r="AO42" i="15"/>
  <c r="AH42" i="15"/>
  <c r="AI42" i="15"/>
  <c r="BM43" i="15" l="1"/>
  <c r="BN43" i="15" s="1"/>
  <c r="BX43" i="15" s="1"/>
  <c r="BT43" i="15" s="1"/>
  <c r="BO43" i="15" s="1"/>
  <c r="BY43" i="15" s="1"/>
  <c r="BU43" i="15" s="1"/>
  <c r="AC42" i="15"/>
  <c r="AA42" i="15" s="1"/>
  <c r="N36" i="9" l="1"/>
  <c r="BP43" i="15"/>
  <c r="P36" i="9" l="1"/>
  <c r="F89" i="13" s="1"/>
  <c r="O36" i="9"/>
  <c r="E89" i="13" s="1"/>
  <c r="J89" i="13" s="1"/>
  <c r="BV43" i="15"/>
  <c r="BW43" i="15"/>
  <c r="BS43" i="15" s="1"/>
  <c r="H37" i="7" l="1"/>
  <c r="E37" i="7" s="1"/>
  <c r="L89" i="13" s="1"/>
  <c r="N89" i="13" s="1"/>
  <c r="O89" i="13" s="1"/>
  <c r="BR43" i="15"/>
  <c r="K38" i="7" s="1"/>
  <c r="N38" i="7" s="1"/>
  <c r="M38" i="7" s="1"/>
  <c r="AB38" i="7" l="1"/>
  <c r="AJ38" i="7"/>
  <c r="AK38" i="7" s="1"/>
  <c r="L38" i="7"/>
  <c r="T38" i="7" s="1"/>
  <c r="N43" i="15"/>
  <c r="O43" i="15" s="1"/>
  <c r="AZ38" i="7"/>
  <c r="AR38" i="7"/>
  <c r="BA38" i="7" l="1"/>
  <c r="BC38" i="7"/>
  <c r="AS38" i="7"/>
  <c r="AU38" i="7"/>
  <c r="AH39" i="7"/>
  <c r="AG39" i="7"/>
  <c r="AL39" i="7" s="1"/>
  <c r="AC38" i="7"/>
  <c r="AE38" i="7"/>
  <c r="Q38" i="7" s="1"/>
  <c r="I43" i="15" s="1"/>
  <c r="K43" i="15" s="1"/>
  <c r="AI39" i="7" l="1"/>
  <c r="AM39" i="7" s="1"/>
  <c r="Q43" i="15"/>
  <c r="AO39" i="7"/>
  <c r="AT39" i="7" s="1"/>
  <c r="I38" i="7"/>
  <c r="AP39" i="7"/>
  <c r="Y39" i="7"/>
  <c r="AD39" i="7" s="1"/>
  <c r="G38" i="7"/>
  <c r="Z39" i="7"/>
  <c r="AW39" i="7"/>
  <c r="BB39" i="7" s="1"/>
  <c r="AX39" i="7"/>
  <c r="AQ39" i="7" l="1"/>
  <c r="AY39" i="7"/>
  <c r="AA39" i="7"/>
  <c r="R43" i="15"/>
  <c r="L37" i="9"/>
  <c r="AY43" i="15" l="1"/>
  <c r="AR43" i="15"/>
  <c r="AZ43" i="15"/>
  <c r="AS43" i="15"/>
  <c r="AT43" i="15"/>
  <c r="AU43" i="15"/>
  <c r="AV43" i="15"/>
  <c r="AW43" i="15"/>
  <c r="AX43" i="15"/>
  <c r="AQ43" i="15" l="1"/>
  <c r="S43" i="15" s="1"/>
  <c r="U43" i="15" s="1"/>
  <c r="V43" i="15" l="1"/>
  <c r="AK43" i="15" s="1"/>
  <c r="W43" i="15"/>
  <c r="AI43" i="15" l="1"/>
  <c r="AJ43" i="15"/>
  <c r="AH43" i="15"/>
  <c r="AD43" i="15"/>
  <c r="AG43" i="15"/>
  <c r="AE43" i="15"/>
  <c r="AN43" i="15"/>
  <c r="AO43" i="15"/>
  <c r="AL43" i="15"/>
  <c r="AF43" i="15"/>
  <c r="BD43" i="15"/>
  <c r="BI43" i="15"/>
  <c r="BE43" i="15"/>
  <c r="BH43" i="15"/>
  <c r="BF43" i="15"/>
  <c r="BG43" i="15"/>
  <c r="BK43" i="15"/>
  <c r="BC43" i="15"/>
  <c r="BJ43" i="15"/>
  <c r="AC43" i="15" l="1"/>
  <c r="BB43" i="15"/>
  <c r="L43" i="15" s="1"/>
  <c r="U38" i="7" s="1"/>
  <c r="V38" i="7" s="1"/>
  <c r="S39" i="7" s="1"/>
  <c r="P39" i="7" s="1"/>
  <c r="AA43" i="15" l="1"/>
  <c r="N37" i="9"/>
  <c r="P37" i="9" s="1"/>
  <c r="F90" i="13" s="1"/>
  <c r="F38" i="7"/>
  <c r="W39" i="7"/>
  <c r="D91" i="13"/>
  <c r="F44" i="15"/>
  <c r="G44" i="15" s="1"/>
  <c r="M38" i="9"/>
  <c r="H38" i="7" l="1"/>
  <c r="E38" i="7" s="1"/>
  <c r="L90" i="13" s="1"/>
  <c r="N90" i="13" s="1"/>
  <c r="O90" i="13" s="1"/>
  <c r="O37" i="9"/>
  <c r="E90" i="13" s="1"/>
  <c r="J90" i="13" s="1"/>
  <c r="BM44" i="15"/>
  <c r="BN44" i="15" s="1"/>
  <c r="BX44" i="15" s="1"/>
  <c r="BT44" i="15" s="1"/>
  <c r="BO44" i="15" s="1"/>
  <c r="BY44" i="15" s="1"/>
  <c r="BU44" i="15" s="1"/>
  <c r="BP44" i="15" l="1"/>
  <c r="BV44" i="15" l="1"/>
  <c r="BW44" i="15"/>
  <c r="BS44" i="15" s="1"/>
  <c r="BR44" i="15" s="1"/>
  <c r="K39" i="7" s="1"/>
  <c r="M39" i="7" l="1"/>
  <c r="N39" i="7" l="1"/>
  <c r="AJ39" i="7"/>
  <c r="AK39" i="7" s="1"/>
  <c r="AB39" i="7"/>
  <c r="AC39" i="7" l="1"/>
  <c r="AE39" i="7"/>
  <c r="Q39" i="7" s="1"/>
  <c r="I44" i="15" s="1"/>
  <c r="K44" i="15" s="1"/>
  <c r="AG40" i="7"/>
  <c r="AL40" i="7" s="1"/>
  <c r="AH40" i="7"/>
  <c r="AR39" i="7"/>
  <c r="N44" i="15"/>
  <c r="O44" i="15" s="1"/>
  <c r="AZ39" i="7"/>
  <c r="L39" i="7"/>
  <c r="T39" i="7" s="1"/>
  <c r="Q44" i="15" l="1"/>
  <c r="AI40" i="7"/>
  <c r="AM40" i="7" s="1"/>
  <c r="BC39" i="7"/>
  <c r="BA39" i="7"/>
  <c r="AS39" i="7"/>
  <c r="AU39" i="7"/>
  <c r="L38" i="9"/>
  <c r="R44" i="15"/>
  <c r="Y40" i="7"/>
  <c r="AD40" i="7" s="1"/>
  <c r="Z40" i="7"/>
  <c r="G39" i="7"/>
  <c r="AR44" i="15" l="1"/>
  <c r="AS44" i="15"/>
  <c r="AT44" i="15"/>
  <c r="AU44" i="15"/>
  <c r="AW44" i="15"/>
  <c r="AX44" i="15"/>
  <c r="AV44" i="15"/>
  <c r="AY44" i="15"/>
  <c r="AZ44" i="15"/>
  <c r="AO40" i="7"/>
  <c r="AT40" i="7" s="1"/>
  <c r="I39" i="7"/>
  <c r="AP40" i="7"/>
  <c r="AA40" i="7"/>
  <c r="AW40" i="7"/>
  <c r="BB40" i="7" s="1"/>
  <c r="AX40" i="7"/>
  <c r="AQ40" i="7" l="1"/>
  <c r="AY40" i="7"/>
  <c r="AQ44" i="15"/>
  <c r="S44" i="15" s="1"/>
  <c r="U44" i="15" s="1"/>
  <c r="V44" i="15" l="1"/>
  <c r="W44" i="15"/>
  <c r="BG44" i="15" l="1"/>
  <c r="BC44" i="15"/>
  <c r="BK44" i="15"/>
  <c r="BD44" i="15"/>
  <c r="BE44" i="15"/>
  <c r="BI44" i="15"/>
  <c r="BJ44" i="15"/>
  <c r="BF44" i="15"/>
  <c r="BH44" i="15"/>
  <c r="AN44" i="15"/>
  <c r="AL44" i="15"/>
  <c r="AO44" i="15"/>
  <c r="AG44" i="15"/>
  <c r="AF44" i="15"/>
  <c r="AH44" i="15"/>
  <c r="AE44" i="15"/>
  <c r="AI44" i="15"/>
  <c r="AJ44" i="15"/>
  <c r="AK44" i="15"/>
  <c r="AD44" i="15"/>
  <c r="AC44" i="15" l="1"/>
  <c r="BB44" i="15"/>
  <c r="L44" i="15" s="1"/>
  <c r="U39" i="7" s="1"/>
  <c r="V39" i="7" s="1"/>
  <c r="AA44" i="15" l="1"/>
  <c r="N38" i="9"/>
  <c r="S40" i="7"/>
  <c r="P40" i="7" s="1"/>
  <c r="W40" i="7"/>
  <c r="F39" i="7"/>
  <c r="O38" i="9" l="1"/>
  <c r="E91" i="13" s="1"/>
  <c r="J91" i="13" s="1"/>
  <c r="P38" i="9"/>
  <c r="F45" i="15"/>
  <c r="G45" i="15" s="1"/>
  <c r="D92" i="13"/>
  <c r="M39" i="9"/>
  <c r="BM45" i="15" l="1"/>
  <c r="BN45" i="15" s="1"/>
  <c r="BX45" i="15" s="1"/>
  <c r="BT45" i="15" s="1"/>
  <c r="BO45" i="15" s="1"/>
  <c r="BY45" i="15" s="1"/>
  <c r="BU45" i="15" s="1"/>
  <c r="H39" i="7"/>
  <c r="E39" i="7" s="1"/>
  <c r="L91" i="13" s="1"/>
  <c r="N91" i="13" s="1"/>
  <c r="O91" i="13" s="1"/>
  <c r="F91" i="13"/>
  <c r="BP45" i="15" l="1"/>
  <c r="BW45" i="15" l="1"/>
  <c r="BS45" i="15" s="1"/>
  <c r="BV45" i="15"/>
  <c r="BR45" i="15" l="1"/>
  <c r="K40" i="7" s="1"/>
  <c r="M40" i="7" s="1"/>
  <c r="N40" i="7" l="1"/>
  <c r="AB40" i="7"/>
  <c r="AJ40" i="7"/>
  <c r="AK40" i="7" s="1"/>
  <c r="AH41" i="7" l="1"/>
  <c r="AG41" i="7"/>
  <c r="AL41" i="7" s="1"/>
  <c r="AC40" i="7"/>
  <c r="AE40" i="7"/>
  <c r="Q40" i="7" s="1"/>
  <c r="I45" i="15" s="1"/>
  <c r="K45" i="15" s="1"/>
  <c r="Q45" i="15" s="1"/>
  <c r="N45" i="15"/>
  <c r="O45" i="15" s="1"/>
  <c r="AR40" i="7"/>
  <c r="AZ40" i="7"/>
  <c r="L40" i="7"/>
  <c r="T40" i="7" s="1"/>
  <c r="AI41" i="7" l="1"/>
  <c r="AM41" i="7" s="1"/>
  <c r="BA40" i="7"/>
  <c r="BC40" i="7"/>
  <c r="AU40" i="7"/>
  <c r="AS40" i="7"/>
  <c r="L39" i="9"/>
  <c r="R45" i="15"/>
  <c r="Z41" i="7"/>
  <c r="G40" i="7"/>
  <c r="Y41" i="7"/>
  <c r="AD41" i="7" s="1"/>
  <c r="AZ45" i="15" l="1"/>
  <c r="AR45" i="15"/>
  <c r="AT45" i="15"/>
  <c r="AS45" i="15"/>
  <c r="AU45" i="15"/>
  <c r="AV45" i="15"/>
  <c r="AW45" i="15"/>
  <c r="AX45" i="15"/>
  <c r="AY45" i="15"/>
  <c r="AP41" i="7"/>
  <c r="I40" i="7"/>
  <c r="AO41" i="7"/>
  <c r="AT41" i="7" s="1"/>
  <c r="AA41" i="7"/>
  <c r="AW41" i="7"/>
  <c r="BB41" i="7" s="1"/>
  <c r="AX41" i="7"/>
  <c r="AQ41" i="7" l="1"/>
  <c r="AQ45" i="15"/>
  <c r="S45" i="15" s="1"/>
  <c r="U45" i="15" s="1"/>
  <c r="AY41" i="7"/>
  <c r="V45" i="15" l="1"/>
  <c r="W45" i="15"/>
  <c r="BH45" i="15" l="1"/>
  <c r="BI45" i="15"/>
  <c r="BE45" i="15"/>
  <c r="BD45" i="15"/>
  <c r="BK45" i="15"/>
  <c r="BG45" i="15"/>
  <c r="BJ45" i="15"/>
  <c r="BC45" i="15"/>
  <c r="BF45" i="15"/>
  <c r="AO45" i="15"/>
  <c r="AD45" i="15"/>
  <c r="AL45" i="15"/>
  <c r="AE45" i="15"/>
  <c r="AH45" i="15"/>
  <c r="AI45" i="15"/>
  <c r="AJ45" i="15"/>
  <c r="AK45" i="15"/>
  <c r="AF45" i="15"/>
  <c r="AG45" i="15"/>
  <c r="AN45" i="15"/>
  <c r="BB45" i="15" l="1"/>
  <c r="L45" i="15" s="1"/>
  <c r="U40" i="7" s="1"/>
  <c r="V40" i="7" s="1"/>
  <c r="W41" i="7" s="1"/>
  <c r="AC45" i="15"/>
  <c r="AA45" i="15" s="1"/>
  <c r="N39" i="9" l="1"/>
  <c r="O39" i="9" s="1"/>
  <c r="E92" i="13" s="1"/>
  <c r="J92" i="13" s="1"/>
  <c r="F40" i="7"/>
  <c r="S41" i="7"/>
  <c r="P41" i="7" s="1"/>
  <c r="F46" i="15" s="1"/>
  <c r="G46" i="15" s="1"/>
  <c r="BM46" i="15" s="1"/>
  <c r="BN46" i="15" s="1"/>
  <c r="BX46" i="15" s="1"/>
  <c r="BT46" i="15" s="1"/>
  <c r="BO46" i="15" s="1"/>
  <c r="BY46" i="15" s="1"/>
  <c r="BU46" i="15" s="1"/>
  <c r="P39" i="9" l="1"/>
  <c r="F92" i="13" s="1"/>
  <c r="BP46" i="15"/>
  <c r="BW46" i="15" s="1"/>
  <c r="BS46" i="15" s="1"/>
  <c r="M40" i="9"/>
  <c r="D93" i="13"/>
  <c r="H40" i="7"/>
  <c r="E40" i="7" s="1"/>
  <c r="L92" i="13" s="1"/>
  <c r="N92" i="13" s="1"/>
  <c r="O92" i="13" s="1"/>
  <c r="BV46" i="15" l="1"/>
  <c r="BR46" i="15" s="1"/>
  <c r="K41" i="7" s="1"/>
  <c r="M41" i="7" s="1"/>
  <c r="N41" i="7" s="1"/>
  <c r="N46" i="15" l="1"/>
  <c r="O46" i="15" s="1"/>
  <c r="AZ41" i="7"/>
  <c r="AR41" i="7"/>
  <c r="AJ41" i="7"/>
  <c r="AK41" i="7" s="1"/>
  <c r="AB41" i="7"/>
  <c r="L41" i="7"/>
  <c r="T41" i="7" s="1"/>
  <c r="AC41" i="7" l="1"/>
  <c r="AE41" i="7"/>
  <c r="Q41" i="7" s="1"/>
  <c r="I46" i="15" s="1"/>
  <c r="K46" i="15" s="1"/>
  <c r="AG42" i="7"/>
  <c r="AL42" i="7" s="1"/>
  <c r="AH42" i="7"/>
  <c r="BA41" i="7"/>
  <c r="BC41" i="7"/>
  <c r="AS41" i="7"/>
  <c r="AU41" i="7"/>
  <c r="Q46" i="15" l="1"/>
  <c r="AI42" i="7"/>
  <c r="AM42" i="7" s="1"/>
  <c r="AO42" i="7"/>
  <c r="AT42" i="7" s="1"/>
  <c r="I41" i="7"/>
  <c r="AP42" i="7"/>
  <c r="Z42" i="7"/>
  <c r="G41" i="7"/>
  <c r="Y42" i="7"/>
  <c r="AD42" i="7" s="1"/>
  <c r="AW42" i="7"/>
  <c r="BB42" i="7" s="1"/>
  <c r="AX42" i="7"/>
  <c r="AY42" i="7" l="1"/>
  <c r="AA42" i="7"/>
  <c r="R46" i="15"/>
  <c r="L40" i="9"/>
  <c r="AQ42" i="7"/>
  <c r="AU46" i="15" l="1"/>
  <c r="AV46" i="15"/>
  <c r="AW46" i="15"/>
  <c r="AX46" i="15"/>
  <c r="AY46" i="15"/>
  <c r="AR46" i="15"/>
  <c r="AZ46" i="15"/>
  <c r="AS46" i="15"/>
  <c r="AT46" i="15"/>
  <c r="AQ46" i="15" l="1"/>
  <c r="S46" i="15" s="1"/>
  <c r="U46" i="15" s="1"/>
  <c r="V46" i="15" s="1"/>
  <c r="W46" i="15" l="1"/>
  <c r="BI46" i="15" s="1"/>
  <c r="AK46" i="15"/>
  <c r="AD46" i="15"/>
  <c r="AL46" i="15"/>
  <c r="AE46" i="15"/>
  <c r="AF46" i="15"/>
  <c r="AN46" i="15"/>
  <c r="AG46" i="15"/>
  <c r="AO46" i="15"/>
  <c r="AH46" i="15"/>
  <c r="AI46" i="15"/>
  <c r="AJ46" i="15"/>
  <c r="BG46" i="15" l="1"/>
  <c r="BF46" i="15"/>
  <c r="BD46" i="15"/>
  <c r="BK46" i="15"/>
  <c r="BE46" i="15"/>
  <c r="BC46" i="15"/>
  <c r="BJ46" i="15"/>
  <c r="BH46" i="15"/>
  <c r="AC46" i="15"/>
  <c r="BB46" i="15" l="1"/>
  <c r="L46" i="15" s="1"/>
  <c r="U41" i="7" s="1"/>
  <c r="V41" i="7" s="1"/>
  <c r="W42" i="7" s="1"/>
  <c r="AA46" i="15" l="1"/>
  <c r="N40" i="9"/>
  <c r="P40" i="9" s="1"/>
  <c r="F93" i="13" s="1"/>
  <c r="F41" i="7"/>
  <c r="S42" i="7"/>
  <c r="P42" i="7" s="1"/>
  <c r="F47" i="15" s="1"/>
  <c r="G47" i="15" s="1"/>
  <c r="H41" i="7" l="1"/>
  <c r="E41" i="7" s="1"/>
  <c r="L93" i="13" s="1"/>
  <c r="N93" i="13" s="1"/>
  <c r="O40" i="9"/>
  <c r="E93" i="13" s="1"/>
  <c r="J93" i="13" s="1"/>
  <c r="D94" i="13"/>
  <c r="M41" i="9"/>
  <c r="H56" i="13"/>
  <c r="BM47" i="15"/>
  <c r="BN47" i="15" s="1"/>
  <c r="BX47" i="15" s="1"/>
  <c r="BT47" i="15" s="1"/>
  <c r="BO47" i="15" s="1"/>
  <c r="BY47" i="15" s="1"/>
  <c r="BU47" i="15" s="1"/>
  <c r="BP47" i="15" l="1"/>
  <c r="O93" i="13"/>
  <c r="I56" i="13"/>
  <c r="BV47" i="15" l="1"/>
  <c r="BW47" i="15"/>
  <c r="BS47" i="15" s="1"/>
  <c r="BR47" i="15" s="1"/>
  <c r="K42" i="7" s="1"/>
  <c r="M42" i="7" l="1"/>
  <c r="N42" i="7" s="1"/>
  <c r="N47" i="15" l="1"/>
  <c r="O47" i="15" s="1"/>
  <c r="AZ42" i="7"/>
  <c r="AR42" i="7"/>
  <c r="AB42" i="7"/>
  <c r="AJ42" i="7"/>
  <c r="AK42" i="7" s="1"/>
  <c r="L42" i="7"/>
  <c r="T42" i="7" s="1"/>
  <c r="AH43" i="7" l="1"/>
  <c r="AG43" i="7"/>
  <c r="AL43" i="7" s="1"/>
  <c r="AC42" i="7"/>
  <c r="AE42" i="7"/>
  <c r="Q42" i="7" s="1"/>
  <c r="I47" i="15" s="1"/>
  <c r="K47" i="15" s="1"/>
  <c r="BA42" i="7"/>
  <c r="BC42" i="7"/>
  <c r="AS42" i="7"/>
  <c r="AU42" i="7"/>
  <c r="AW43" i="7" l="1"/>
  <c r="BB43" i="7" s="1"/>
  <c r="AX43" i="7"/>
  <c r="G42" i="7"/>
  <c r="Y43" i="7"/>
  <c r="AD43" i="7" s="1"/>
  <c r="Z43" i="7"/>
  <c r="AI43" i="7"/>
  <c r="AM43" i="7" s="1"/>
  <c r="AO43" i="7"/>
  <c r="AT43" i="7" s="1"/>
  <c r="I42" i="7"/>
  <c r="AP43" i="7"/>
  <c r="Q47" i="15"/>
  <c r="AY43" i="7" l="1"/>
  <c r="AQ43" i="7"/>
  <c r="AA43" i="7"/>
  <c r="R47" i="15"/>
  <c r="L41" i="9"/>
  <c r="AV47" i="15" l="1"/>
  <c r="AW47" i="15"/>
  <c r="AX47" i="15"/>
  <c r="AY47" i="15"/>
  <c r="AR47" i="15"/>
  <c r="AZ47" i="15"/>
  <c r="AS47" i="15"/>
  <c r="AT47" i="15"/>
  <c r="AU47" i="15"/>
  <c r="AQ47" i="15" l="1"/>
  <c r="S47" i="15" s="1"/>
  <c r="U47" i="15" s="1"/>
  <c r="V47" i="15" l="1"/>
  <c r="W47" i="15"/>
  <c r="BJ47" i="15" l="1"/>
  <c r="BC47" i="15"/>
  <c r="BK47" i="15"/>
  <c r="BD47" i="15"/>
  <c r="BE47" i="15"/>
  <c r="BF47" i="15"/>
  <c r="BG47" i="15"/>
  <c r="BH47" i="15"/>
  <c r="BI47" i="15"/>
  <c r="AI47" i="15"/>
  <c r="AJ47" i="15"/>
  <c r="AK47" i="15"/>
  <c r="AD47" i="15"/>
  <c r="AL47" i="15"/>
  <c r="AE47" i="15"/>
  <c r="AF47" i="15"/>
  <c r="AN47" i="15"/>
  <c r="AG47" i="15"/>
  <c r="AO47" i="15"/>
  <c r="AH47" i="15"/>
  <c r="AC47" i="15" l="1"/>
  <c r="BB47" i="15"/>
  <c r="L47" i="15" s="1"/>
  <c r="U42" i="7" s="1"/>
  <c r="V42" i="7" s="1"/>
  <c r="AA47" i="15" l="1"/>
  <c r="S43" i="7"/>
  <c r="P43" i="7" s="1"/>
  <c r="W43" i="7"/>
  <c r="F42" i="7"/>
  <c r="N41" i="9"/>
  <c r="O41" i="9" l="1"/>
  <c r="E94" i="13" s="1"/>
  <c r="J94" i="13" s="1"/>
  <c r="P41" i="9"/>
  <c r="M42" i="9"/>
  <c r="F48" i="15"/>
  <c r="G48" i="15" s="1"/>
  <c r="D95" i="13"/>
  <c r="BM48" i="15" l="1"/>
  <c r="BN48" i="15" s="1"/>
  <c r="BX48" i="15" s="1"/>
  <c r="BT48" i="15" s="1"/>
  <c r="BO48" i="15" s="1"/>
  <c r="BY48" i="15" s="1"/>
  <c r="BU48" i="15" s="1"/>
  <c r="F94" i="13"/>
  <c r="H42" i="7"/>
  <c r="E42" i="7" s="1"/>
  <c r="L94" i="13" s="1"/>
  <c r="N94" i="13" s="1"/>
  <c r="O94" i="13" s="1"/>
  <c r="BP48" i="15" l="1"/>
  <c r="BV48" i="15" l="1"/>
  <c r="BW48" i="15"/>
  <c r="BS48" i="15" s="1"/>
  <c r="BR48" i="15" l="1"/>
  <c r="K43" i="7" s="1"/>
  <c r="M43" i="7" s="1"/>
  <c r="N43" i="7" s="1"/>
  <c r="N48" i="15" l="1"/>
  <c r="O48" i="15" s="1"/>
  <c r="AZ43" i="7"/>
  <c r="AR43" i="7"/>
  <c r="AJ43" i="7"/>
  <c r="AK43" i="7" s="1"/>
  <c r="AB43" i="7"/>
  <c r="L43" i="7"/>
  <c r="T43" i="7" s="1"/>
  <c r="AC43" i="7" l="1"/>
  <c r="AE43" i="7"/>
  <c r="Q43" i="7" s="1"/>
  <c r="I48" i="15" s="1"/>
  <c r="K48" i="15" s="1"/>
  <c r="AH44" i="7"/>
  <c r="AG44" i="7"/>
  <c r="AL44" i="7" s="1"/>
  <c r="BA43" i="7"/>
  <c r="BC43" i="7"/>
  <c r="AS43" i="7"/>
  <c r="AU43" i="7"/>
  <c r="AW44" i="7" l="1"/>
  <c r="BB44" i="7" s="1"/>
  <c r="AX44" i="7"/>
  <c r="AI44" i="7"/>
  <c r="AM44" i="7" s="1"/>
  <c r="Q48" i="15"/>
  <c r="AO44" i="7"/>
  <c r="AT44" i="7" s="1"/>
  <c r="I43" i="7"/>
  <c r="AP44" i="7"/>
  <c r="Y44" i="7"/>
  <c r="AD44" i="7" s="1"/>
  <c r="Z44" i="7"/>
  <c r="G43" i="7"/>
  <c r="AY44" i="7" l="1"/>
  <c r="AQ44" i="7"/>
  <c r="R48" i="15"/>
  <c r="L42" i="9"/>
  <c r="AA44" i="7"/>
  <c r="AW48" i="15" l="1"/>
  <c r="AX48" i="15"/>
  <c r="AY48" i="15"/>
  <c r="AR48" i="15"/>
  <c r="AZ48" i="15"/>
  <c r="AS48" i="15"/>
  <c r="AT48" i="15"/>
  <c r="AV48" i="15"/>
  <c r="AU48" i="15"/>
  <c r="AQ48" i="15" l="1"/>
  <c r="S48" i="15" s="1"/>
  <c r="U48" i="15" s="1"/>
  <c r="V48" i="15" l="1"/>
  <c r="W48" i="15"/>
  <c r="BC48" i="15" l="1"/>
  <c r="BK48" i="15"/>
  <c r="BD48" i="15"/>
  <c r="BF48" i="15"/>
  <c r="BG48" i="15"/>
  <c r="BH48" i="15"/>
  <c r="BJ48" i="15"/>
  <c r="BE48" i="15"/>
  <c r="BI48" i="15"/>
  <c r="AG48" i="15"/>
  <c r="AO48" i="15"/>
  <c r="AH48" i="15"/>
  <c r="AI48" i="15"/>
  <c r="AJ48" i="15"/>
  <c r="AK48" i="15"/>
  <c r="AD48" i="15"/>
  <c r="AL48" i="15"/>
  <c r="AE48" i="15"/>
  <c r="AF48" i="15"/>
  <c r="AN48" i="15"/>
  <c r="AC48" i="15" l="1"/>
  <c r="BB48" i="15"/>
  <c r="L48" i="15" s="1"/>
  <c r="U43" i="7" s="1"/>
  <c r="V43" i="7" s="1"/>
  <c r="AA48" i="15" l="1"/>
  <c r="S44" i="7"/>
  <c r="P44" i="7" s="1"/>
  <c r="W44" i="7"/>
  <c r="F43" i="7"/>
  <c r="N42" i="9"/>
  <c r="O42" i="9" l="1"/>
  <c r="E95" i="13" s="1"/>
  <c r="J95" i="13" s="1"/>
  <c r="P42" i="9"/>
  <c r="F49" i="15"/>
  <c r="G49" i="15" s="1"/>
  <c r="M43" i="9"/>
  <c r="D96" i="13"/>
  <c r="F95" i="13" l="1"/>
  <c r="H43" i="7"/>
  <c r="E43" i="7" s="1"/>
  <c r="L95" i="13" s="1"/>
  <c r="N95" i="13" s="1"/>
  <c r="O95" i="13" s="1"/>
  <c r="BM49" i="15"/>
  <c r="BN49" i="15" s="1"/>
  <c r="BX49" i="15" s="1"/>
  <c r="BT49" i="15" s="1"/>
  <c r="BO49" i="15" s="1"/>
  <c r="BY49" i="15" s="1"/>
  <c r="BU49" i="15" s="1"/>
  <c r="BP49" i="15" l="1"/>
  <c r="BW49" i="15" l="1"/>
  <c r="BS49" i="15" s="1"/>
  <c r="BV49" i="15"/>
  <c r="BR49" i="15" l="1"/>
  <c r="K44" i="7" s="1"/>
  <c r="M44" i="7" s="1"/>
  <c r="N44" i="7" s="1"/>
  <c r="N49" i="15" l="1"/>
  <c r="O49" i="15" s="1"/>
  <c r="AZ44" i="7"/>
  <c r="AR44" i="7"/>
  <c r="AJ44" i="7"/>
  <c r="AK44" i="7" s="1"/>
  <c r="AB44" i="7"/>
  <c r="L44" i="7"/>
  <c r="T44" i="7" s="1"/>
  <c r="AC44" i="7" l="1"/>
  <c r="AE44" i="7"/>
  <c r="Q44" i="7" s="1"/>
  <c r="I49" i="15" s="1"/>
  <c r="K49" i="15" s="1"/>
  <c r="AG45" i="7"/>
  <c r="AL45" i="7" s="1"/>
  <c r="AH45" i="7"/>
  <c r="AS44" i="7"/>
  <c r="AU44" i="7"/>
  <c r="BA44" i="7"/>
  <c r="BC44" i="7"/>
  <c r="I44" i="7" l="1"/>
  <c r="AO45" i="7"/>
  <c r="AT45" i="7" s="1"/>
  <c r="AP45" i="7"/>
  <c r="AI45" i="7"/>
  <c r="AM45" i="7" s="1"/>
  <c r="Q49" i="15"/>
  <c r="AW45" i="7"/>
  <c r="BB45" i="7" s="1"/>
  <c r="AX45" i="7"/>
  <c r="G44" i="7"/>
  <c r="Y45" i="7"/>
  <c r="AD45" i="7" s="1"/>
  <c r="Z45" i="7"/>
  <c r="AY45" i="7" l="1"/>
  <c r="AQ45" i="7"/>
  <c r="AA45" i="7"/>
  <c r="R49" i="15"/>
  <c r="L43" i="9"/>
  <c r="AX49" i="15" l="1"/>
  <c r="AY49" i="15"/>
  <c r="AS49" i="15"/>
  <c r="AT49" i="15"/>
  <c r="AW49" i="15"/>
  <c r="AU49" i="15"/>
  <c r="AV49" i="15"/>
  <c r="AZ49" i="15"/>
  <c r="AR49" i="15"/>
  <c r="AQ49" i="15" l="1"/>
  <c r="S49" i="15" s="1"/>
  <c r="U49" i="15" s="1"/>
  <c r="V49" i="15" l="1"/>
  <c r="W49" i="15"/>
  <c r="BD49" i="15" l="1"/>
  <c r="BE49" i="15"/>
  <c r="BG49" i="15"/>
  <c r="BC49" i="15"/>
  <c r="BK49" i="15"/>
  <c r="BI49" i="15"/>
  <c r="BJ49" i="15"/>
  <c r="BF49" i="15"/>
  <c r="BH49" i="15"/>
  <c r="AD49" i="15"/>
  <c r="AL49" i="15"/>
  <c r="AE49" i="15"/>
  <c r="AF49" i="15"/>
  <c r="AN49" i="15"/>
  <c r="AG49" i="15"/>
  <c r="AO49" i="15"/>
  <c r="AH49" i="15"/>
  <c r="AI49" i="15"/>
  <c r="AJ49" i="15"/>
  <c r="AK49" i="15"/>
  <c r="BB49" i="15" l="1"/>
  <c r="L49" i="15" s="1"/>
  <c r="U44" i="7" s="1"/>
  <c r="V44" i="7" s="1"/>
  <c r="AC49" i="15"/>
  <c r="AA49" i="15" s="1"/>
  <c r="N43" i="9" l="1"/>
  <c r="O43" i="9" s="1"/>
  <c r="E96" i="13" s="1"/>
  <c r="J96" i="13" s="1"/>
  <c r="S45" i="7"/>
  <c r="P45" i="7" s="1"/>
  <c r="W45" i="7"/>
  <c r="F44" i="7"/>
  <c r="P43" i="9" l="1"/>
  <c r="F96" i="13" s="1"/>
  <c r="M44" i="9"/>
  <c r="F50" i="15"/>
  <c r="G50" i="15" s="1"/>
  <c r="D97" i="13"/>
  <c r="H44" i="7" l="1"/>
  <c r="E44" i="7" s="1"/>
  <c r="L96" i="13" s="1"/>
  <c r="N96" i="13" s="1"/>
  <c r="O96" i="13" s="1"/>
  <c r="BM50" i="15"/>
  <c r="BN50" i="15" s="1"/>
  <c r="BX50" i="15" s="1"/>
  <c r="BT50" i="15" s="1"/>
  <c r="BO50" i="15" s="1"/>
  <c r="BY50" i="15" s="1"/>
  <c r="BU50" i="15" s="1"/>
  <c r="BP50" i="15" l="1"/>
  <c r="BW50" i="15" l="1"/>
  <c r="BS50" i="15" s="1"/>
  <c r="BV50" i="15"/>
  <c r="BR50" i="15" l="1"/>
  <c r="K45" i="7" s="1"/>
  <c r="M45" i="7" s="1"/>
  <c r="N45" i="7" s="1"/>
  <c r="N50" i="15" l="1"/>
  <c r="O50" i="15" s="1"/>
  <c r="AZ45" i="7"/>
  <c r="AR45" i="7"/>
  <c r="AB45" i="7"/>
  <c r="AJ45" i="7"/>
  <c r="AK45" i="7" s="1"/>
  <c r="L45" i="7"/>
  <c r="T45" i="7" s="1"/>
  <c r="AH46" i="7" l="1"/>
  <c r="AG46" i="7"/>
  <c r="AL46" i="7" s="1"/>
  <c r="AC45" i="7"/>
  <c r="AE45" i="7"/>
  <c r="Q45" i="7" s="1"/>
  <c r="I50" i="15" s="1"/>
  <c r="K50" i="15" s="1"/>
  <c r="BA45" i="7"/>
  <c r="BC45" i="7"/>
  <c r="AS45" i="7"/>
  <c r="AU45" i="7"/>
  <c r="AW46" i="7" l="1"/>
  <c r="BB46" i="7" s="1"/>
  <c r="AX46" i="7"/>
  <c r="Y46" i="7"/>
  <c r="AD46" i="7" s="1"/>
  <c r="G45" i="7"/>
  <c r="Z46" i="7"/>
  <c r="Q50" i="15"/>
  <c r="AI46" i="7"/>
  <c r="AM46" i="7" s="1"/>
  <c r="AO46" i="7"/>
  <c r="AT46" i="7" s="1"/>
  <c r="I45" i="7"/>
  <c r="AP46" i="7"/>
  <c r="AA46" i="7" l="1"/>
  <c r="AQ46" i="7"/>
  <c r="AY46" i="7"/>
  <c r="R50" i="15"/>
  <c r="L44" i="9"/>
  <c r="AX50" i="15" l="1"/>
  <c r="AT50" i="15"/>
  <c r="AU50" i="15"/>
  <c r="AV50" i="15"/>
  <c r="AW50" i="15"/>
  <c r="AY50" i="15"/>
  <c r="AZ50" i="15"/>
  <c r="AR50" i="15"/>
  <c r="AS50" i="15"/>
  <c r="AQ50" i="15" l="1"/>
  <c r="S50" i="15" s="1"/>
  <c r="U50" i="15" s="1"/>
  <c r="W50" i="15" s="1"/>
  <c r="V50" i="15" l="1"/>
  <c r="AO50" i="15" s="1"/>
  <c r="BD50" i="15"/>
  <c r="BJ50" i="15"/>
  <c r="BK50" i="15"/>
  <c r="BC50" i="15"/>
  <c r="BE50" i="15"/>
  <c r="BF50" i="15"/>
  <c r="BG50" i="15"/>
  <c r="BH50" i="15"/>
  <c r="BI50" i="15"/>
  <c r="AN50" i="15" l="1"/>
  <c r="AG50" i="15"/>
  <c r="AF50" i="15"/>
  <c r="AL50" i="15"/>
  <c r="AD50" i="15"/>
  <c r="AI50" i="15"/>
  <c r="AH50" i="15"/>
  <c r="AK50" i="15"/>
  <c r="AE50" i="15"/>
  <c r="AJ50" i="15"/>
  <c r="BB50" i="15"/>
  <c r="L50" i="15" s="1"/>
  <c r="U45" i="7" s="1"/>
  <c r="V45" i="7" s="1"/>
  <c r="AC50" i="15" l="1"/>
  <c r="AA50" i="15" s="1"/>
  <c r="S46" i="7"/>
  <c r="P46" i="7" s="1"/>
  <c r="W46" i="7"/>
  <c r="F45" i="7"/>
  <c r="N44" i="9" l="1"/>
  <c r="M45" i="9"/>
  <c r="F51" i="15"/>
  <c r="G51" i="15" s="1"/>
  <c r="D98" i="13"/>
  <c r="P44" i="9" l="1"/>
  <c r="O44" i="9"/>
  <c r="E97" i="13" s="1"/>
  <c r="J97" i="13" s="1"/>
  <c r="BM51" i="15"/>
  <c r="BN51" i="15" s="1"/>
  <c r="BX51" i="15" s="1"/>
  <c r="BT51" i="15" s="1"/>
  <c r="BO51" i="15" s="1"/>
  <c r="BY51" i="15" s="1"/>
  <c r="BU51" i="15" s="1"/>
  <c r="H45" i="7" l="1"/>
  <c r="E45" i="7" s="1"/>
  <c r="L97" i="13" s="1"/>
  <c r="N97" i="13" s="1"/>
  <c r="O97" i="13" s="1"/>
  <c r="F97" i="13"/>
  <c r="BP51" i="15"/>
  <c r="BV51" i="15" l="1"/>
  <c r="BW51" i="15"/>
  <c r="BS51" i="15" s="1"/>
  <c r="BR51" i="15" s="1"/>
  <c r="K46" i="7" s="1"/>
  <c r="M46" i="7" l="1"/>
  <c r="N46" i="7" s="1"/>
  <c r="N51" i="15" l="1"/>
  <c r="O51" i="15" s="1"/>
  <c r="AR46" i="7"/>
  <c r="AZ46" i="7"/>
  <c r="AB46" i="7"/>
  <c r="AJ46" i="7"/>
  <c r="AK46" i="7" s="1"/>
  <c r="L46" i="7"/>
  <c r="T46" i="7" s="1"/>
  <c r="AG47" i="7" l="1"/>
  <c r="AL47" i="7" s="1"/>
  <c r="AH47" i="7"/>
  <c r="AC46" i="7"/>
  <c r="AE46" i="7"/>
  <c r="Q46" i="7" s="1"/>
  <c r="I51" i="15" s="1"/>
  <c r="K51" i="15" s="1"/>
  <c r="BA46" i="7"/>
  <c r="BC46" i="7"/>
  <c r="AS46" i="7"/>
  <c r="AU46" i="7"/>
  <c r="AI47" i="7" l="1"/>
  <c r="AM47" i="7" s="1"/>
  <c r="G46" i="7"/>
  <c r="Y47" i="7"/>
  <c r="AD47" i="7" s="1"/>
  <c r="Z47" i="7"/>
  <c r="Q51" i="15"/>
  <c r="AO47" i="7"/>
  <c r="AT47" i="7" s="1"/>
  <c r="I46" i="7"/>
  <c r="AP47" i="7"/>
  <c r="AW47" i="7"/>
  <c r="BB47" i="7" s="1"/>
  <c r="AX47" i="7"/>
  <c r="AA47" i="7" l="1"/>
  <c r="AY47" i="7"/>
  <c r="AQ47" i="7"/>
  <c r="R51" i="15"/>
  <c r="L45" i="9"/>
  <c r="AW51" i="15" l="1"/>
  <c r="AX51" i="15"/>
  <c r="AY51" i="15"/>
  <c r="AR51" i="15"/>
  <c r="AZ51" i="15"/>
  <c r="AS51" i="15"/>
  <c r="AT51" i="15"/>
  <c r="AU51" i="15"/>
  <c r="AV51" i="15"/>
  <c r="AQ51" i="15" l="1"/>
  <c r="S51" i="15" s="1"/>
  <c r="U51" i="15" s="1"/>
  <c r="V51" i="15" s="1"/>
  <c r="W51" i="15" l="1"/>
  <c r="BC51" i="15" s="1"/>
  <c r="AH51" i="15"/>
  <c r="AI51" i="15"/>
  <c r="AJ51" i="15"/>
  <c r="AK51" i="15"/>
  <c r="AD51" i="15"/>
  <c r="AL51" i="15"/>
  <c r="AE51" i="15"/>
  <c r="AF51" i="15"/>
  <c r="AN51" i="15"/>
  <c r="AG51" i="15"/>
  <c r="AO51" i="15"/>
  <c r="BI51" i="15" l="1"/>
  <c r="BH51" i="15"/>
  <c r="BG51" i="15"/>
  <c r="BF51" i="15"/>
  <c r="BE51" i="15"/>
  <c r="BD51" i="15"/>
  <c r="BK51" i="15"/>
  <c r="BJ51" i="15"/>
  <c r="AC51" i="15"/>
  <c r="BB51" i="15" l="1"/>
  <c r="L51" i="15" s="1"/>
  <c r="U46" i="7" s="1"/>
  <c r="V46" i="7" s="1"/>
  <c r="W47" i="7" s="1"/>
  <c r="AA51" i="15" l="1"/>
  <c r="F46" i="7"/>
  <c r="S47" i="7"/>
  <c r="P47" i="7" s="1"/>
  <c r="F52" i="15" s="1"/>
  <c r="G52" i="15" s="1"/>
  <c r="N45" i="9"/>
  <c r="P45" i="9" s="1"/>
  <c r="O45" i="9" l="1"/>
  <c r="E98" i="13" s="1"/>
  <c r="J98" i="13" s="1"/>
  <c r="D99" i="13"/>
  <c r="M46" i="9"/>
  <c r="BM52" i="15"/>
  <c r="BN52" i="15" s="1"/>
  <c r="BX52" i="15" s="1"/>
  <c r="BT52" i="15" s="1"/>
  <c r="BO52" i="15" s="1"/>
  <c r="BY52" i="15" s="1"/>
  <c r="BU52" i="15" s="1"/>
  <c r="F98" i="13"/>
  <c r="H46" i="7"/>
  <c r="E46" i="7" s="1"/>
  <c r="L98" i="13" s="1"/>
  <c r="N98" i="13" s="1"/>
  <c r="O98" i="13" s="1"/>
  <c r="BP52" i="15" l="1"/>
  <c r="BW52" i="15" l="1"/>
  <c r="BS52" i="15" s="1"/>
  <c r="BR52" i="15" s="1"/>
  <c r="K47" i="7" s="1"/>
  <c r="BV52" i="15"/>
  <c r="M47" i="7" l="1"/>
  <c r="N47" i="7" s="1"/>
  <c r="N52" i="15" l="1"/>
  <c r="O52" i="15" s="1"/>
  <c r="AZ47" i="7"/>
  <c r="AR47" i="7"/>
  <c r="AJ47" i="7"/>
  <c r="AK47" i="7" s="1"/>
  <c r="AB47" i="7"/>
  <c r="L47" i="7"/>
  <c r="T47" i="7" s="1"/>
  <c r="AC47" i="7" l="1"/>
  <c r="AE47" i="7"/>
  <c r="Q47" i="7" s="1"/>
  <c r="I52" i="15" s="1"/>
  <c r="K52" i="15" s="1"/>
  <c r="AG48" i="7"/>
  <c r="AL48" i="7" s="1"/>
  <c r="AH48" i="7"/>
  <c r="AS47" i="7"/>
  <c r="AU47" i="7"/>
  <c r="BA47" i="7"/>
  <c r="BC47" i="7"/>
  <c r="AI48" i="7" l="1"/>
  <c r="AM48" i="7" s="1"/>
  <c r="AO48" i="7"/>
  <c r="AT48" i="7" s="1"/>
  <c r="I47" i="7"/>
  <c r="AP48" i="7"/>
  <c r="Q52" i="15"/>
  <c r="AW48" i="7"/>
  <c r="BB48" i="7" s="1"/>
  <c r="AX48" i="7"/>
  <c r="G47" i="7"/>
  <c r="Y48" i="7"/>
  <c r="AD48" i="7" s="1"/>
  <c r="Z48" i="7"/>
  <c r="AQ48" i="7" l="1"/>
  <c r="AY48" i="7"/>
  <c r="AA48" i="7"/>
  <c r="R52" i="15"/>
  <c r="L46" i="9"/>
  <c r="AX52" i="15" l="1"/>
  <c r="AY52" i="15"/>
  <c r="AR52" i="15"/>
  <c r="AZ52" i="15"/>
  <c r="AS52" i="15"/>
  <c r="AT52" i="15"/>
  <c r="AU52" i="15"/>
  <c r="AV52" i="15"/>
  <c r="AW52" i="15"/>
  <c r="AQ52" i="15" l="1"/>
  <c r="S52" i="15" s="1"/>
  <c r="U52" i="15" s="1"/>
  <c r="V52" i="15" l="1"/>
  <c r="W52" i="15"/>
  <c r="BD52" i="15" l="1"/>
  <c r="BE52" i="15"/>
  <c r="BF52" i="15"/>
  <c r="BG52" i="15"/>
  <c r="BH52" i="15"/>
  <c r="BI52" i="15"/>
  <c r="BJ52" i="15"/>
  <c r="BC52" i="15"/>
  <c r="BK52" i="15"/>
  <c r="AF52" i="15"/>
  <c r="AN52" i="15"/>
  <c r="AG52" i="15"/>
  <c r="AO52" i="15"/>
  <c r="AH52" i="15"/>
  <c r="AI52" i="15"/>
  <c r="AJ52" i="15"/>
  <c r="AK52" i="15"/>
  <c r="AD52" i="15"/>
  <c r="AL52" i="15"/>
  <c r="AE52" i="15"/>
  <c r="BB52" i="15" l="1"/>
  <c r="L52" i="15" s="1"/>
  <c r="U47" i="7" s="1"/>
  <c r="V47" i="7" s="1"/>
  <c r="W48" i="7" s="1"/>
  <c r="AC52" i="15"/>
  <c r="AA52" i="15" l="1"/>
  <c r="F47" i="7"/>
  <c r="S48" i="7"/>
  <c r="P48" i="7" s="1"/>
  <c r="F53" i="15" s="1"/>
  <c r="G53" i="15" s="1"/>
  <c r="N46" i="9"/>
  <c r="P46" i="9" s="1"/>
  <c r="O46" i="9" l="1"/>
  <c r="E99" i="13" s="1"/>
  <c r="J99" i="13" s="1"/>
  <c r="D100" i="13"/>
  <c r="M47" i="9"/>
  <c r="F99" i="13"/>
  <c r="H47" i="7"/>
  <c r="E47" i="7" s="1"/>
  <c r="L99" i="13" s="1"/>
  <c r="N99" i="13" s="1"/>
  <c r="O99" i="13" s="1"/>
  <c r="BM53" i="15"/>
  <c r="BN53" i="15" s="1"/>
  <c r="BX53" i="15" s="1"/>
  <c r="BT53" i="15" s="1"/>
  <c r="BO53" i="15" s="1"/>
  <c r="BY53" i="15" s="1"/>
  <c r="BU53" i="15" s="1"/>
  <c r="BP53" i="15" l="1"/>
  <c r="BW53" i="15" l="1"/>
  <c r="BS53" i="15" s="1"/>
  <c r="BV53" i="15"/>
  <c r="BR53" i="15" l="1"/>
  <c r="K48" i="7" s="1"/>
  <c r="M48" i="7" s="1"/>
  <c r="N48" i="7" s="1"/>
  <c r="AB48" i="7" l="1"/>
  <c r="AJ48" i="7"/>
  <c r="AK48" i="7" s="1"/>
  <c r="N53" i="15"/>
  <c r="O53" i="15" s="1"/>
  <c r="AZ48" i="7"/>
  <c r="AR48" i="7"/>
  <c r="L48" i="7"/>
  <c r="T48" i="7" s="1"/>
  <c r="AS48" i="7" l="1"/>
  <c r="AU48" i="7"/>
  <c r="BA48" i="7"/>
  <c r="BC48" i="7"/>
  <c r="AG49" i="7"/>
  <c r="AL49" i="7" s="1"/>
  <c r="AH49" i="7"/>
  <c r="AC48" i="7"/>
  <c r="AE48" i="7"/>
  <c r="Q48" i="7" s="1"/>
  <c r="I53" i="15" s="1"/>
  <c r="K53" i="15" s="1"/>
  <c r="AW49" i="7" l="1"/>
  <c r="BB49" i="7" s="1"/>
  <c r="AX49" i="7"/>
  <c r="Q53" i="15"/>
  <c r="G48" i="7"/>
  <c r="Y49" i="7"/>
  <c r="AD49" i="7" s="1"/>
  <c r="Z49" i="7"/>
  <c r="AO49" i="7"/>
  <c r="AT49" i="7" s="1"/>
  <c r="I48" i="7"/>
  <c r="AP49" i="7"/>
  <c r="AI49" i="7"/>
  <c r="AM49" i="7" s="1"/>
  <c r="AA49" i="7" l="1"/>
  <c r="AY49" i="7"/>
  <c r="R53" i="15"/>
  <c r="L47" i="9"/>
  <c r="AQ49" i="7"/>
  <c r="AY53" i="15" l="1"/>
  <c r="AR53" i="15"/>
  <c r="AZ53" i="15"/>
  <c r="AS53" i="15"/>
  <c r="AT53" i="15"/>
  <c r="AU53" i="15"/>
  <c r="AV53" i="15"/>
  <c r="AW53" i="15"/>
  <c r="AX53" i="15"/>
  <c r="AQ53" i="15" l="1"/>
  <c r="S53" i="15" s="1"/>
  <c r="U53" i="15" s="1"/>
  <c r="V53" i="15" l="1"/>
  <c r="W53" i="15"/>
  <c r="BE53" i="15" l="1"/>
  <c r="BF53" i="15"/>
  <c r="BG53" i="15"/>
  <c r="BH53" i="15"/>
  <c r="BI53" i="15"/>
  <c r="BJ53" i="15"/>
  <c r="BC53" i="15"/>
  <c r="BK53" i="15"/>
  <c r="BD53" i="15"/>
  <c r="AE53" i="15"/>
  <c r="AF53" i="15"/>
  <c r="AN53" i="15"/>
  <c r="AG53" i="15"/>
  <c r="AO53" i="15"/>
  <c r="AH53" i="15"/>
  <c r="AI53" i="15"/>
  <c r="AJ53" i="15"/>
  <c r="AK53" i="15"/>
  <c r="AD53" i="15"/>
  <c r="AL53" i="15"/>
  <c r="AC53" i="15" l="1"/>
  <c r="BB53" i="15"/>
  <c r="L53" i="15" s="1"/>
  <c r="U48" i="7" s="1"/>
  <c r="V48" i="7" s="1"/>
  <c r="AA53" i="15" l="1"/>
  <c r="W49" i="7"/>
  <c r="S49" i="7"/>
  <c r="P49" i="7" s="1"/>
  <c r="F48" i="7"/>
  <c r="N47" i="9"/>
  <c r="P47" i="9" l="1"/>
  <c r="O47" i="9"/>
  <c r="E100" i="13" s="1"/>
  <c r="J100" i="13" s="1"/>
  <c r="M48" i="9"/>
  <c r="F54" i="15"/>
  <c r="G54" i="15" s="1"/>
  <c r="D101" i="13"/>
  <c r="BM54" i="15" l="1"/>
  <c r="BN54" i="15" s="1"/>
  <c r="BX54" i="15" s="1"/>
  <c r="BT54" i="15" s="1"/>
  <c r="BO54" i="15" s="1"/>
  <c r="BY54" i="15" s="1"/>
  <c r="BU54" i="15" s="1"/>
  <c r="F100" i="13"/>
  <c r="H48" i="7"/>
  <c r="E48" i="7" s="1"/>
  <c r="L100" i="13" s="1"/>
  <c r="N100" i="13" s="1"/>
  <c r="O100" i="13" s="1"/>
  <c r="BP54" i="15" l="1"/>
  <c r="BW54" i="15" l="1"/>
  <c r="BS54" i="15" s="1"/>
  <c r="BV54" i="15"/>
  <c r="BR54" i="15" l="1"/>
  <c r="K49" i="7" s="1"/>
  <c r="M49" i="7" s="1"/>
  <c r="N49" i="7" s="1"/>
  <c r="N54" i="15" l="1"/>
  <c r="O54" i="15" s="1"/>
  <c r="AZ49" i="7"/>
  <c r="AR49" i="7"/>
  <c r="AB49" i="7"/>
  <c r="AJ49" i="7"/>
  <c r="AK49" i="7" s="1"/>
  <c r="L49" i="7"/>
  <c r="T49" i="7" s="1"/>
  <c r="AG50" i="7" l="1"/>
  <c r="AL50" i="7" s="1"/>
  <c r="AH50" i="7"/>
  <c r="AC49" i="7"/>
  <c r="AE49" i="7"/>
  <c r="Q49" i="7" s="1"/>
  <c r="I54" i="15" s="1"/>
  <c r="K54" i="15" s="1"/>
  <c r="AS49" i="7"/>
  <c r="AU49" i="7"/>
  <c r="BA49" i="7"/>
  <c r="BC49" i="7"/>
  <c r="AI50" i="7" l="1"/>
  <c r="AM50" i="7" s="1"/>
  <c r="AO50" i="7"/>
  <c r="AT50" i="7" s="1"/>
  <c r="I49" i="7"/>
  <c r="AP50" i="7"/>
  <c r="Q54" i="15"/>
  <c r="Y50" i="7"/>
  <c r="AD50" i="7" s="1"/>
  <c r="Z50" i="7"/>
  <c r="G49" i="7"/>
  <c r="AW50" i="7"/>
  <c r="BB50" i="7" s="1"/>
  <c r="AX50" i="7"/>
  <c r="AQ50" i="7" l="1"/>
  <c r="AY50" i="7"/>
  <c r="AA50" i="7"/>
  <c r="R54" i="15"/>
  <c r="L48" i="9"/>
  <c r="AR54" i="15" l="1"/>
  <c r="AZ54" i="15"/>
  <c r="AS54" i="15"/>
  <c r="AT54" i="15"/>
  <c r="AU54" i="15"/>
  <c r="AV54" i="15"/>
  <c r="AW54" i="15"/>
  <c r="AX54" i="15"/>
  <c r="AY54" i="15"/>
  <c r="AQ54" i="15" l="1"/>
  <c r="S54" i="15" s="1"/>
  <c r="U54" i="15" s="1"/>
  <c r="V54" i="15" l="1"/>
  <c r="W54" i="15"/>
  <c r="BF54" i="15" l="1"/>
  <c r="BG54" i="15"/>
  <c r="BH54" i="15"/>
  <c r="BI54" i="15"/>
  <c r="BJ54" i="15"/>
  <c r="BC54" i="15"/>
  <c r="BK54" i="15"/>
  <c r="BD54" i="15"/>
  <c r="BE54" i="15"/>
  <c r="AJ54" i="15"/>
  <c r="AK54" i="15"/>
  <c r="AD54" i="15"/>
  <c r="AL54" i="15"/>
  <c r="AE54" i="15"/>
  <c r="AF54" i="15"/>
  <c r="AN54" i="15"/>
  <c r="AG54" i="15"/>
  <c r="AO54" i="15"/>
  <c r="AH54" i="15"/>
  <c r="AI54" i="15"/>
  <c r="BB54" i="15" l="1"/>
  <c r="L54" i="15" s="1"/>
  <c r="U49" i="7" s="1"/>
  <c r="V49" i="7" s="1"/>
  <c r="AC54" i="15"/>
  <c r="AA54" i="15" l="1"/>
  <c r="N48" i="9"/>
  <c r="P48" i="9" s="1"/>
  <c r="W50" i="7"/>
  <c r="S50" i="7"/>
  <c r="P50" i="7" s="1"/>
  <c r="F49" i="7"/>
  <c r="O48" i="9" l="1"/>
  <c r="E101" i="13" s="1"/>
  <c r="J101" i="13" s="1"/>
  <c r="F55" i="15"/>
  <c r="G55" i="15" s="1"/>
  <c r="M49" i="9"/>
  <c r="D102" i="13"/>
  <c r="F101" i="13"/>
  <c r="H49" i="7"/>
  <c r="E49" i="7" s="1"/>
  <c r="L101" i="13" s="1"/>
  <c r="N101" i="13" s="1"/>
  <c r="O101" i="13" s="1"/>
  <c r="BM55" i="15" l="1"/>
  <c r="BN55" i="15" s="1"/>
  <c r="BX55" i="15" s="1"/>
  <c r="BT55" i="15" s="1"/>
  <c r="BO55" i="15" s="1"/>
  <c r="BY55" i="15" s="1"/>
  <c r="BU55" i="15" s="1"/>
  <c r="BP55" i="15" l="1"/>
  <c r="BW55" i="15" l="1"/>
  <c r="BS55" i="15" s="1"/>
  <c r="BR55" i="15" s="1"/>
  <c r="K50" i="7" s="1"/>
  <c r="BV55" i="15"/>
  <c r="M50" i="7" l="1"/>
  <c r="N50" i="7" s="1"/>
  <c r="N55" i="15" l="1"/>
  <c r="O55" i="15" s="1"/>
  <c r="AR50" i="7"/>
  <c r="AZ50" i="7"/>
  <c r="AB50" i="7"/>
  <c r="AJ50" i="7"/>
  <c r="AK50" i="7" s="1"/>
  <c r="L50" i="7"/>
  <c r="T50" i="7" s="1"/>
  <c r="AG51" i="7" l="1"/>
  <c r="AL51" i="7" s="1"/>
  <c r="AH51" i="7"/>
  <c r="AC50" i="7"/>
  <c r="AE50" i="7"/>
  <c r="Q50" i="7" s="1"/>
  <c r="I55" i="15" s="1"/>
  <c r="K55" i="15" s="1"/>
  <c r="AS50" i="7"/>
  <c r="AU50" i="7"/>
  <c r="BA50" i="7"/>
  <c r="BC50" i="7"/>
  <c r="AI51" i="7" l="1"/>
  <c r="I50" i="7"/>
  <c r="AO51" i="7"/>
  <c r="AT51" i="7" s="1"/>
  <c r="AP51" i="7"/>
  <c r="Z51" i="7"/>
  <c r="G50" i="7"/>
  <c r="Y51" i="7"/>
  <c r="AD51" i="7" s="1"/>
  <c r="Q55" i="15"/>
  <c r="AM51" i="7"/>
  <c r="AW51" i="7"/>
  <c r="BB51" i="7" s="1"/>
  <c r="AX51" i="7"/>
  <c r="AY51" i="7" l="1"/>
  <c r="R55" i="15"/>
  <c r="L49" i="9"/>
  <c r="AA51" i="7"/>
  <c r="AQ51" i="7"/>
  <c r="AS55" i="15" l="1"/>
  <c r="AT55" i="15"/>
  <c r="AU55" i="15"/>
  <c r="AV55" i="15"/>
  <c r="AW55" i="15"/>
  <c r="AX55" i="15"/>
  <c r="AY55" i="15"/>
  <c r="AR55" i="15"/>
  <c r="AZ55" i="15"/>
  <c r="AQ55" i="15" l="1"/>
  <c r="S55" i="15" s="1"/>
  <c r="U55" i="15" s="1"/>
  <c r="V55" i="15" s="1"/>
  <c r="W55" i="15" l="1"/>
  <c r="BG55" i="15" s="1"/>
  <c r="AJ55" i="15"/>
  <c r="AK55" i="15"/>
  <c r="AD55" i="15"/>
  <c r="AL55" i="15"/>
  <c r="AE55" i="15"/>
  <c r="AF55" i="15"/>
  <c r="AN55" i="15"/>
  <c r="AG55" i="15"/>
  <c r="AO55" i="15"/>
  <c r="AH55" i="15"/>
  <c r="AI55" i="15"/>
  <c r="BF55" i="15" l="1"/>
  <c r="BE55" i="15"/>
  <c r="BD55" i="15"/>
  <c r="BK55" i="15"/>
  <c r="BC55" i="15"/>
  <c r="BI55" i="15"/>
  <c r="BJ55" i="15"/>
  <c r="BH55" i="15"/>
  <c r="AC55" i="15"/>
  <c r="BB55" i="15" l="1"/>
  <c r="L55" i="15" s="1"/>
  <c r="U50" i="7" s="1"/>
  <c r="V50" i="7" s="1"/>
  <c r="W51" i="7" s="1"/>
  <c r="AA55" i="15" l="1"/>
  <c r="F50" i="7"/>
  <c r="S51" i="7"/>
  <c r="P51" i="7" s="1"/>
  <c r="F56" i="15" s="1"/>
  <c r="G56" i="15" s="1"/>
  <c r="N49" i="9"/>
  <c r="P49" i="9" s="1"/>
  <c r="H50" i="7" s="1"/>
  <c r="E50" i="7" s="1"/>
  <c r="L102" i="13" s="1"/>
  <c r="N102" i="13" s="1"/>
  <c r="O102" i="13" s="1"/>
  <c r="F102" i="13" l="1"/>
  <c r="O49" i="9"/>
  <c r="E102" i="13" s="1"/>
  <c r="J102" i="13" s="1"/>
  <c r="M50" i="9"/>
  <c r="D103" i="13"/>
  <c r="BM56" i="15"/>
  <c r="BN56" i="15" s="1"/>
  <c r="BX56" i="15" s="1"/>
  <c r="BT56" i="15" s="1"/>
  <c r="BO56" i="15" s="1"/>
  <c r="BY56" i="15" s="1"/>
  <c r="BU56" i="15" s="1"/>
  <c r="BP56" i="15" l="1"/>
  <c r="BV56" i="15" l="1"/>
  <c r="BW56" i="15"/>
  <c r="BS56" i="15" s="1"/>
  <c r="BR56" i="15" l="1"/>
  <c r="K51" i="7" s="1"/>
  <c r="M51" i="7" s="1"/>
  <c r="N51" i="7" s="1"/>
  <c r="AJ51" i="7" l="1"/>
  <c r="AK51" i="7" s="1"/>
  <c r="AB51" i="7"/>
  <c r="N56" i="15"/>
  <c r="O56" i="15" s="1"/>
  <c r="AZ51" i="7"/>
  <c r="AR51" i="7"/>
  <c r="L51" i="7"/>
  <c r="T51" i="7" s="1"/>
  <c r="AS51" i="7" l="1"/>
  <c r="AU51" i="7"/>
  <c r="BA51" i="7"/>
  <c r="BC51" i="7"/>
  <c r="AC51" i="7"/>
  <c r="AE51" i="7"/>
  <c r="Q51" i="7" s="1"/>
  <c r="I56" i="15" s="1"/>
  <c r="K56" i="15" s="1"/>
  <c r="AG52" i="7"/>
  <c r="AL52" i="7" s="1"/>
  <c r="AH52" i="7"/>
  <c r="Q56" i="15" l="1"/>
  <c r="AW52" i="7"/>
  <c r="BB52" i="7" s="1"/>
  <c r="AX52" i="7"/>
  <c r="Z52" i="7"/>
  <c r="G51" i="7"/>
  <c r="Y52" i="7"/>
  <c r="AD52" i="7" s="1"/>
  <c r="AI52" i="7"/>
  <c r="AM52" i="7" s="1"/>
  <c r="AO52" i="7"/>
  <c r="AT52" i="7" s="1"/>
  <c r="I51" i="7"/>
  <c r="AP52" i="7"/>
  <c r="AA52" i="7" l="1"/>
  <c r="AY52" i="7"/>
  <c r="AQ52" i="7"/>
  <c r="R56" i="15"/>
  <c r="L50" i="9"/>
  <c r="AT56" i="15" l="1"/>
  <c r="AU56" i="15"/>
  <c r="AV56" i="15"/>
  <c r="AW56" i="15"/>
  <c r="AX56" i="15"/>
  <c r="AY56" i="15"/>
  <c r="AR56" i="15"/>
  <c r="AZ56" i="15"/>
  <c r="AS56" i="15"/>
  <c r="AQ56" i="15" l="1"/>
  <c r="S56" i="15" s="1"/>
  <c r="U56" i="15" s="1"/>
  <c r="V56" i="15" l="1"/>
  <c r="W56" i="15"/>
  <c r="BH56" i="15" l="1"/>
  <c r="BI56" i="15"/>
  <c r="BJ56" i="15"/>
  <c r="BC56" i="15"/>
  <c r="BK56" i="15"/>
  <c r="BD56" i="15"/>
  <c r="BE56" i="15"/>
  <c r="BF56" i="15"/>
  <c r="BG56" i="15"/>
  <c r="AI56" i="15"/>
  <c r="AJ56" i="15"/>
  <c r="AK56" i="15"/>
  <c r="AD56" i="15"/>
  <c r="AL56" i="15"/>
  <c r="AE56" i="15"/>
  <c r="AF56" i="15"/>
  <c r="AN56" i="15"/>
  <c r="AG56" i="15"/>
  <c r="AO56" i="15"/>
  <c r="AH56" i="15"/>
  <c r="AC56" i="15" l="1"/>
  <c r="BB56" i="15"/>
  <c r="L56" i="15" s="1"/>
  <c r="U51" i="7" s="1"/>
  <c r="V51" i="7" s="1"/>
  <c r="AA56" i="15" l="1"/>
  <c r="W52" i="7"/>
  <c r="S52" i="7"/>
  <c r="P52" i="7" s="1"/>
  <c r="F51" i="7"/>
  <c r="N50" i="9"/>
  <c r="P50" i="9" l="1"/>
  <c r="O50" i="9"/>
  <c r="E103" i="13" s="1"/>
  <c r="J103" i="13" s="1"/>
  <c r="M51" i="9"/>
  <c r="F57" i="15"/>
  <c r="G57" i="15" s="1"/>
  <c r="D104" i="13"/>
  <c r="BM57" i="15" l="1"/>
  <c r="BN57" i="15" s="1"/>
  <c r="BX57" i="15" s="1"/>
  <c r="BT57" i="15" s="1"/>
  <c r="BO57" i="15" s="1"/>
  <c r="BY57" i="15" s="1"/>
  <c r="BU57" i="15" s="1"/>
  <c r="F103" i="13"/>
  <c r="H51" i="7"/>
  <c r="E51" i="7" s="1"/>
  <c r="L103" i="13" s="1"/>
  <c r="BP57" i="15" l="1"/>
  <c r="N103" i="13"/>
  <c r="H57" i="13"/>
  <c r="O103" i="13" l="1"/>
  <c r="I57" i="13"/>
  <c r="BV57" i="15"/>
  <c r="BW57" i="15"/>
  <c r="BS57" i="15" s="1"/>
  <c r="BR57" i="15" s="1"/>
  <c r="K52" i="7" s="1"/>
  <c r="M52" i="7" l="1"/>
  <c r="N52" i="7" s="1"/>
  <c r="N57" i="15" l="1"/>
  <c r="O57" i="15" s="1"/>
  <c r="AZ52" i="7"/>
  <c r="AR52" i="7"/>
  <c r="AJ52" i="7"/>
  <c r="AK52" i="7" s="1"/>
  <c r="AB52" i="7"/>
  <c r="L52" i="7"/>
  <c r="T52" i="7" s="1"/>
  <c r="AC52" i="7" l="1"/>
  <c r="AE52" i="7"/>
  <c r="Q52" i="7" s="1"/>
  <c r="I57" i="15" s="1"/>
  <c r="K57" i="15" s="1"/>
  <c r="AG53" i="7"/>
  <c r="AL53" i="7" s="1"/>
  <c r="AH53" i="7"/>
  <c r="AS52" i="7"/>
  <c r="AU52" i="7"/>
  <c r="BA52" i="7"/>
  <c r="BC52" i="7"/>
  <c r="AI53" i="7" l="1"/>
  <c r="AM53" i="7" s="1"/>
  <c r="I52" i="7"/>
  <c r="AO53" i="7"/>
  <c r="AT53" i="7" s="1"/>
  <c r="AP53" i="7"/>
  <c r="Q57" i="15"/>
  <c r="AW53" i="7"/>
  <c r="BB53" i="7" s="1"/>
  <c r="AX53" i="7"/>
  <c r="Z53" i="7"/>
  <c r="G52" i="7"/>
  <c r="Y53" i="7"/>
  <c r="AD53" i="7" s="1"/>
  <c r="AA53" i="7" l="1"/>
  <c r="AY53" i="7"/>
  <c r="R57" i="15"/>
  <c r="L51" i="9"/>
  <c r="AQ53" i="7"/>
  <c r="AU57" i="15" l="1"/>
  <c r="AV57" i="15"/>
  <c r="AW57" i="15"/>
  <c r="AX57" i="15"/>
  <c r="AY57" i="15"/>
  <c r="AR57" i="15"/>
  <c r="AZ57" i="15"/>
  <c r="AS57" i="15"/>
  <c r="AT57" i="15"/>
  <c r="AQ57" i="15" l="1"/>
  <c r="S57" i="15" s="1"/>
  <c r="U57" i="15" s="1"/>
  <c r="V57" i="15" s="1"/>
  <c r="W57" i="15" l="1"/>
  <c r="BI57" i="15" s="1"/>
  <c r="AF57" i="15"/>
  <c r="AN57" i="15"/>
  <c r="AG57" i="15"/>
  <c r="AO57" i="15"/>
  <c r="AH57" i="15"/>
  <c r="AI57" i="15"/>
  <c r="AJ57" i="15"/>
  <c r="AK57" i="15"/>
  <c r="AD57" i="15"/>
  <c r="AL57" i="15"/>
  <c r="AE57" i="15"/>
  <c r="BG57" i="15" l="1"/>
  <c r="BF57" i="15"/>
  <c r="BE57" i="15"/>
  <c r="BD57" i="15"/>
  <c r="BK57" i="15"/>
  <c r="BC57" i="15"/>
  <c r="BJ57" i="15"/>
  <c r="BH57" i="15"/>
  <c r="AC57" i="15"/>
  <c r="BB57" i="15" l="1"/>
  <c r="L57" i="15" s="1"/>
  <c r="U52" i="7" s="1"/>
  <c r="V52" i="7" s="1"/>
  <c r="W53" i="7" s="1"/>
  <c r="AA57" i="15" l="1"/>
  <c r="F52" i="7"/>
  <c r="S53" i="7"/>
  <c r="P53" i="7" s="1"/>
  <c r="M52" i="9" s="1"/>
  <c r="N51" i="9"/>
  <c r="O51" i="9" s="1"/>
  <c r="E104" i="13" s="1"/>
  <c r="J104" i="13" s="1"/>
  <c r="P51" i="9" l="1"/>
  <c r="D105" i="13"/>
  <c r="F58" i="15"/>
  <c r="G58" i="15" s="1"/>
  <c r="BM58" i="15" s="1"/>
  <c r="BN58" i="15" s="1"/>
  <c r="BX58" i="15" s="1"/>
  <c r="BT58" i="15" s="1"/>
  <c r="BO58" i="15" s="1"/>
  <c r="BY58" i="15" s="1"/>
  <c r="BU58" i="15" s="1"/>
  <c r="F104" i="13" l="1"/>
  <c r="H52" i="7"/>
  <c r="E52" i="7" s="1"/>
  <c r="L104" i="13" s="1"/>
  <c r="N104" i="13" s="1"/>
  <c r="O104" i="13" s="1"/>
  <c r="BP58" i="15"/>
  <c r="BV58" i="15" l="1"/>
  <c r="BW58" i="15"/>
  <c r="BS58" i="15" s="1"/>
  <c r="BR58" i="15" l="1"/>
  <c r="K53" i="7" s="1"/>
  <c r="M53" i="7" s="1"/>
  <c r="N53" i="7" s="1"/>
  <c r="N58" i="15" l="1"/>
  <c r="O58" i="15" s="1"/>
  <c r="AR53" i="7"/>
  <c r="AZ53" i="7"/>
  <c r="AB53" i="7"/>
  <c r="AJ53" i="7"/>
  <c r="AK53" i="7" s="1"/>
  <c r="L53" i="7"/>
  <c r="T53" i="7" s="1"/>
  <c r="AG54" i="7" l="1"/>
  <c r="AL54" i="7" s="1"/>
  <c r="AH54" i="7"/>
  <c r="AC53" i="7"/>
  <c r="AE53" i="7"/>
  <c r="Q53" i="7" s="1"/>
  <c r="I58" i="15" s="1"/>
  <c r="K58" i="15" s="1"/>
  <c r="BA53" i="7"/>
  <c r="BC53" i="7"/>
  <c r="AS53" i="7"/>
  <c r="AU53" i="7"/>
  <c r="AI54" i="7" l="1"/>
  <c r="AM54" i="7" s="1"/>
  <c r="Q58" i="15"/>
  <c r="AW54" i="7"/>
  <c r="BB54" i="7" s="1"/>
  <c r="AX54" i="7"/>
  <c r="Y54" i="7"/>
  <c r="AD54" i="7" s="1"/>
  <c r="Z54" i="7"/>
  <c r="G53" i="7"/>
  <c r="AO54" i="7"/>
  <c r="AT54" i="7" s="1"/>
  <c r="I53" i="7"/>
  <c r="AP54" i="7"/>
  <c r="AY54" i="7" l="1"/>
  <c r="AQ54" i="7"/>
  <c r="R58" i="15"/>
  <c r="L52" i="9"/>
  <c r="AA54" i="7"/>
  <c r="AT58" i="15" l="1"/>
  <c r="AU58" i="15"/>
  <c r="AV58" i="15"/>
  <c r="AW58" i="15"/>
  <c r="AX58" i="15"/>
  <c r="AY58" i="15"/>
  <c r="AR58" i="15"/>
  <c r="AZ58" i="15"/>
  <c r="AS58" i="15"/>
  <c r="AQ58" i="15" l="1"/>
  <c r="S58" i="15" s="1"/>
  <c r="U58" i="15" s="1"/>
  <c r="V58" i="15" s="1"/>
  <c r="W58" i="15" l="1"/>
  <c r="BH58" i="15" s="1"/>
  <c r="AH58" i="15"/>
  <c r="AI58" i="15"/>
  <c r="AJ58" i="15"/>
  <c r="AK58" i="15"/>
  <c r="AD58" i="15"/>
  <c r="AL58" i="15"/>
  <c r="AE58" i="15"/>
  <c r="AF58" i="15"/>
  <c r="AN58" i="15"/>
  <c r="AG58" i="15"/>
  <c r="AO58" i="15"/>
  <c r="BF58" i="15" l="1"/>
  <c r="BE58" i="15"/>
  <c r="BK58" i="15"/>
  <c r="BD58" i="15"/>
  <c r="BC58" i="15"/>
  <c r="BJ58" i="15"/>
  <c r="BI58" i="15"/>
  <c r="BG58" i="15"/>
  <c r="AC58" i="15"/>
  <c r="BB58" i="15" l="1"/>
  <c r="L58" i="15" s="1"/>
  <c r="U53" i="7" s="1"/>
  <c r="V53" i="7" s="1"/>
  <c r="W54" i="7" s="1"/>
  <c r="AA58" i="15" l="1"/>
  <c r="F53" i="7"/>
  <c r="S54" i="7"/>
  <c r="P54" i="7" s="1"/>
  <c r="M53" i="9" s="1"/>
  <c r="N52" i="9"/>
  <c r="P52" i="9" s="1"/>
  <c r="O52" i="9" l="1"/>
  <c r="E105" i="13" s="1"/>
  <c r="J105" i="13" s="1"/>
  <c r="D106" i="13"/>
  <c r="F59" i="15"/>
  <c r="G59" i="15" s="1"/>
  <c r="BM59" i="15" s="1"/>
  <c r="BN59" i="15" s="1"/>
  <c r="BX59" i="15" s="1"/>
  <c r="BT59" i="15" s="1"/>
  <c r="BO59" i="15" s="1"/>
  <c r="BY59" i="15" s="1"/>
  <c r="BU59" i="15" s="1"/>
  <c r="F105" i="13"/>
  <c r="H53" i="7"/>
  <c r="E53" i="7" s="1"/>
  <c r="L105" i="13" s="1"/>
  <c r="N105" i="13" s="1"/>
  <c r="O105" i="13" s="1"/>
  <c r="BP59" i="15" l="1"/>
  <c r="BV59" i="15" l="1"/>
  <c r="BW59" i="15"/>
  <c r="BS59" i="15" s="1"/>
  <c r="BR59" i="15" l="1"/>
  <c r="K54" i="7" s="1"/>
  <c r="M54" i="7" s="1"/>
  <c r="N54" i="7" s="1"/>
  <c r="N59" i="15" l="1"/>
  <c r="O59" i="15" s="1"/>
  <c r="AZ54" i="7"/>
  <c r="AR54" i="7"/>
  <c r="AJ54" i="7"/>
  <c r="AK54" i="7" s="1"/>
  <c r="AB54" i="7"/>
  <c r="L54" i="7"/>
  <c r="T54" i="7" s="1"/>
  <c r="AC54" i="7" l="1"/>
  <c r="Z55" i="7" s="1"/>
  <c r="AE54" i="7"/>
  <c r="Q54" i="7" s="1"/>
  <c r="I59" i="15" s="1"/>
  <c r="K59" i="15" s="1"/>
  <c r="Q59" i="15" s="1"/>
  <c r="G54" i="7"/>
  <c r="AS54" i="7"/>
  <c r="AU54" i="7"/>
  <c r="BA54" i="7"/>
  <c r="BC54" i="7"/>
  <c r="AG55" i="7"/>
  <c r="AL55" i="7" s="1"/>
  <c r="AH55" i="7"/>
  <c r="Y55" i="7" l="1"/>
  <c r="AA55" i="7" s="1"/>
  <c r="L53" i="9"/>
  <c r="R59" i="15"/>
  <c r="AR59" i="15" s="1"/>
  <c r="I54" i="7"/>
  <c r="AO55" i="7"/>
  <c r="AT55" i="7" s="1"/>
  <c r="AP55" i="7"/>
  <c r="AW55" i="7"/>
  <c r="BB55" i="7" s="1"/>
  <c r="AX55" i="7"/>
  <c r="AI55" i="7"/>
  <c r="AD55" i="7" l="1"/>
  <c r="AY59" i="15"/>
  <c r="AX59" i="15"/>
  <c r="AZ59" i="15"/>
  <c r="AV59" i="15"/>
  <c r="AW59" i="15"/>
  <c r="AT59" i="15"/>
  <c r="AU59" i="15"/>
  <c r="AS59" i="15"/>
  <c r="AM55" i="7"/>
  <c r="AQ55" i="7"/>
  <c r="AY55" i="7"/>
  <c r="AQ59" i="15" l="1"/>
  <c r="S59" i="15" s="1"/>
  <c r="U59" i="15" s="1"/>
  <c r="V59" i="15" s="1"/>
  <c r="AG59" i="15" s="1"/>
  <c r="W59" i="15" l="1"/>
  <c r="BK59" i="15" s="1"/>
  <c r="AF59" i="15"/>
  <c r="AL59" i="15"/>
  <c r="AN59" i="15"/>
  <c r="AE59" i="15"/>
  <c r="AH59" i="15"/>
  <c r="AK59" i="15"/>
  <c r="AI59" i="15"/>
  <c r="AO59" i="15"/>
  <c r="AJ59" i="15"/>
  <c r="AD59" i="15"/>
  <c r="BE59" i="15" l="1"/>
  <c r="BI59" i="15"/>
  <c r="BD59" i="15"/>
  <c r="BC59" i="15"/>
  <c r="BH59" i="15"/>
  <c r="BG59" i="15"/>
  <c r="BJ59" i="15"/>
  <c r="BF59" i="15"/>
  <c r="AC59" i="15"/>
  <c r="BB59" i="15" l="1"/>
  <c r="L59" i="15" s="1"/>
  <c r="U54" i="7" s="1"/>
  <c r="V54" i="7" s="1"/>
  <c r="W55" i="7" s="1"/>
  <c r="AA59" i="15" l="1"/>
  <c r="S55" i="7"/>
  <c r="P55" i="7" s="1"/>
  <c r="D107" i="13" s="1"/>
  <c r="F54" i="7"/>
  <c r="N53" i="9"/>
  <c r="P53" i="9" s="1"/>
  <c r="F106" i="13" s="1"/>
  <c r="O53" i="9" l="1"/>
  <c r="E106" i="13" s="1"/>
  <c r="J106" i="13" s="1"/>
  <c r="M54" i="9"/>
  <c r="F60" i="15"/>
  <c r="G60" i="15" s="1"/>
  <c r="BM60" i="15" s="1"/>
  <c r="BN60" i="15" s="1"/>
  <c r="BX60" i="15" s="1"/>
  <c r="BT60" i="15" s="1"/>
  <c r="BO60" i="15" s="1"/>
  <c r="BY60" i="15" s="1"/>
  <c r="BU60" i="15" s="1"/>
  <c r="H54" i="7"/>
  <c r="E54" i="7" s="1"/>
  <c r="L106" i="13" s="1"/>
  <c r="N106" i="13" s="1"/>
  <c r="O106" i="13" s="1"/>
  <c r="BP60" i="15" l="1"/>
  <c r="BW60" i="15" l="1"/>
  <c r="BS60" i="15" s="1"/>
  <c r="BV60" i="15"/>
  <c r="BR60" i="15" l="1"/>
  <c r="K55" i="7" s="1"/>
  <c r="M55" i="7" s="1"/>
  <c r="N55" i="7" l="1"/>
  <c r="L55" i="7" s="1"/>
  <c r="T55" i="7" s="1"/>
  <c r="AB55" i="7"/>
  <c r="AJ55" i="7"/>
  <c r="AK55" i="7" s="1"/>
  <c r="AC55" i="7" l="1"/>
  <c r="Y56" i="7" s="1"/>
  <c r="AE55" i="7"/>
  <c r="Q55" i="7" s="1"/>
  <c r="I60" i="15" s="1"/>
  <c r="K60" i="15" s="1"/>
  <c r="AH56" i="7"/>
  <c r="AG56" i="7"/>
  <c r="AL56" i="7" s="1"/>
  <c r="G55" i="7"/>
  <c r="N60" i="15"/>
  <c r="O60" i="15" s="1"/>
  <c r="AR55" i="7"/>
  <c r="AZ55" i="7"/>
  <c r="AD56" i="7" l="1"/>
  <c r="Z56" i="7"/>
  <c r="Q60" i="15"/>
  <c r="R60" i="15" s="1"/>
  <c r="BA55" i="7"/>
  <c r="BC55" i="7"/>
  <c r="AI56" i="7"/>
  <c r="AS55" i="7"/>
  <c r="AU55" i="7"/>
  <c r="AA56" i="7"/>
  <c r="L54" i="9" l="1"/>
  <c r="I55" i="7"/>
  <c r="AO56" i="7"/>
  <c r="AT56" i="7" s="1"/>
  <c r="AP56" i="7"/>
  <c r="AM56" i="7"/>
  <c r="AX56" i="7"/>
  <c r="AW56" i="7"/>
  <c r="BB56" i="7" s="1"/>
  <c r="AZ60" i="15"/>
  <c r="AR60" i="15"/>
  <c r="AT60" i="15"/>
  <c r="AS60" i="15"/>
  <c r="AU60" i="15"/>
  <c r="AY60" i="15"/>
  <c r="AV60" i="15"/>
  <c r="AW60" i="15"/>
  <c r="AX60" i="15"/>
  <c r="AQ56" i="7" l="1"/>
  <c r="AQ60" i="15"/>
  <c r="S60" i="15" s="1"/>
  <c r="U60" i="15" s="1"/>
  <c r="AY56" i="7"/>
  <c r="V60" i="15" l="1"/>
  <c r="AG60" i="15" s="1"/>
  <c r="W60" i="15"/>
  <c r="AO60" i="15" l="1"/>
  <c r="AN60" i="15"/>
  <c r="AI60" i="15"/>
  <c r="AL60" i="15"/>
  <c r="AK60" i="15"/>
  <c r="AD60" i="15"/>
  <c r="AJ60" i="15"/>
  <c r="AE60" i="15"/>
  <c r="AH60" i="15"/>
  <c r="AF60" i="15"/>
  <c r="BK60" i="15"/>
  <c r="BH60" i="15"/>
  <c r="BD60" i="15"/>
  <c r="BC60" i="15"/>
  <c r="BE60" i="15"/>
  <c r="BF60" i="15"/>
  <c r="BG60" i="15"/>
  <c r="BJ60" i="15"/>
  <c r="BI60" i="15"/>
  <c r="AC60" i="15" l="1"/>
  <c r="BB60" i="15"/>
  <c r="AA60" i="15" l="1"/>
  <c r="L60" i="15"/>
  <c r="U55" i="7" s="1"/>
  <c r="V55" i="7" s="1"/>
  <c r="N54" i="9"/>
  <c r="O54" i="9" l="1"/>
  <c r="E107" i="13" s="1"/>
  <c r="J107" i="13" s="1"/>
  <c r="P54" i="9"/>
  <c r="W56" i="7"/>
  <c r="F55" i="7"/>
  <c r="S56" i="7"/>
  <c r="P56" i="7" s="1"/>
  <c r="F61" i="15" l="1"/>
  <c r="G61" i="15" s="1"/>
  <c r="D108" i="13"/>
  <c r="M55" i="9"/>
  <c r="H55" i="7"/>
  <c r="E55" i="7" s="1"/>
  <c r="L107" i="13" s="1"/>
  <c r="N107" i="13" s="1"/>
  <c r="O107" i="13" s="1"/>
  <c r="F107" i="13"/>
  <c r="BM61" i="15" l="1"/>
  <c r="BN61" i="15" s="1"/>
  <c r="BX61" i="15" s="1"/>
  <c r="BT61" i="15" s="1"/>
  <c r="BO61" i="15" s="1"/>
  <c r="BY61" i="15" s="1"/>
  <c r="BU61" i="15" s="1"/>
  <c r="BP61" i="15" l="1"/>
  <c r="BW61" i="15" l="1"/>
  <c r="BS61" i="15" s="1"/>
  <c r="BR61" i="15" s="1"/>
  <c r="K56" i="7" s="1"/>
  <c r="BV61" i="15"/>
  <c r="M56" i="7" l="1"/>
  <c r="N56" i="7" s="1"/>
  <c r="L56" i="7" l="1"/>
  <c r="T56" i="7" s="1"/>
  <c r="AR56" i="7"/>
  <c r="AZ56" i="7"/>
  <c r="N61" i="15"/>
  <c r="O61" i="15" s="1"/>
  <c r="AJ56" i="7"/>
  <c r="AK56" i="7" s="1"/>
  <c r="AB56" i="7"/>
  <c r="AC56" i="7" l="1"/>
  <c r="AE56" i="7"/>
  <c r="Q56" i="7" s="1"/>
  <c r="I61" i="15" s="1"/>
  <c r="K61" i="15" s="1"/>
  <c r="Q61" i="15" s="1"/>
  <c r="AH57" i="7"/>
  <c r="AG57" i="7"/>
  <c r="AL57" i="7" s="1"/>
  <c r="BC56" i="7"/>
  <c r="BA56" i="7"/>
  <c r="AU56" i="7"/>
  <c r="AS56" i="7"/>
  <c r="AI57" i="7" l="1"/>
  <c r="AM57" i="7" s="1"/>
  <c r="L55" i="9"/>
  <c r="R61" i="15"/>
  <c r="AW57" i="7"/>
  <c r="BB57" i="7" s="1"/>
  <c r="AX57" i="7"/>
  <c r="AO57" i="7"/>
  <c r="AT57" i="7" s="1"/>
  <c r="I56" i="7"/>
  <c r="AP57" i="7"/>
  <c r="Z57" i="7"/>
  <c r="Y57" i="7"/>
  <c r="AD57" i="7" s="1"/>
  <c r="G56" i="7"/>
  <c r="AY57" i="7" l="1"/>
  <c r="AQ57" i="7"/>
  <c r="AA57" i="7"/>
  <c r="AS61" i="15"/>
  <c r="AW61" i="15"/>
  <c r="AZ61" i="15"/>
  <c r="AX61" i="15"/>
  <c r="AU61" i="15"/>
  <c r="AR61" i="15"/>
  <c r="AV61" i="15"/>
  <c r="AT61" i="15"/>
  <c r="AY61" i="15"/>
  <c r="AQ61" i="15" l="1"/>
  <c r="S61" i="15" s="1"/>
  <c r="U61" i="15" s="1"/>
  <c r="V61" i="15" l="1"/>
  <c r="W61" i="15"/>
  <c r="BD61" i="15" l="1"/>
  <c r="BF61" i="15"/>
  <c r="BK61" i="15"/>
  <c r="BH61" i="15"/>
  <c r="BG61" i="15"/>
  <c r="BC61" i="15"/>
  <c r="BI61" i="15"/>
  <c r="BE61" i="15"/>
  <c r="BJ61" i="15"/>
  <c r="AO61" i="15"/>
  <c r="AF61" i="15"/>
  <c r="AI61" i="15"/>
  <c r="AH61" i="15"/>
  <c r="AJ61" i="15"/>
  <c r="AL61" i="15"/>
  <c r="AG61" i="15"/>
  <c r="AK61" i="15"/>
  <c r="AD61" i="15"/>
  <c r="AN61" i="15"/>
  <c r="AE61" i="15"/>
  <c r="BB61" i="15" l="1"/>
  <c r="L61" i="15" s="1"/>
  <c r="U56" i="7" s="1"/>
  <c r="V56" i="7" s="1"/>
  <c r="AC61" i="15"/>
  <c r="AA61" i="15" l="1"/>
  <c r="N55" i="9"/>
  <c r="O55" i="9" s="1"/>
  <c r="E108" i="13" s="1"/>
  <c r="J108" i="13" s="1"/>
  <c r="S57" i="7"/>
  <c r="P57" i="7" s="1"/>
  <c r="W57" i="7"/>
  <c r="F56" i="7"/>
  <c r="P55" i="9" l="1"/>
  <c r="F108" i="13" s="1"/>
  <c r="M56" i="9"/>
  <c r="F62" i="15"/>
  <c r="G62" i="15" s="1"/>
  <c r="D109" i="13"/>
  <c r="H56" i="7" l="1"/>
  <c r="E56" i="7" s="1"/>
  <c r="L108" i="13" s="1"/>
  <c r="N108" i="13" s="1"/>
  <c r="O108" i="13" s="1"/>
  <c r="BM62" i="15"/>
  <c r="BN62" i="15" s="1"/>
  <c r="BX62" i="15" s="1"/>
  <c r="BT62" i="15" s="1"/>
  <c r="BO62" i="15" s="1"/>
  <c r="BY62" i="15" s="1"/>
  <c r="BU62" i="15" s="1"/>
  <c r="BP62" i="15" l="1"/>
  <c r="BW62" i="15" l="1"/>
  <c r="BS62" i="15" s="1"/>
  <c r="BV62" i="15"/>
  <c r="BR62" i="15" l="1"/>
  <c r="K57" i="7" s="1"/>
  <c r="M57" i="7" s="1"/>
  <c r="N57" i="7" s="1"/>
  <c r="AJ57" i="7" l="1"/>
  <c r="AK57" i="7" s="1"/>
  <c r="AB57" i="7"/>
  <c r="N62" i="15"/>
  <c r="O62" i="15" s="1"/>
  <c r="AR57" i="7"/>
  <c r="AZ57" i="7"/>
  <c r="L57" i="7"/>
  <c r="T57" i="7" s="1"/>
  <c r="BA57" i="7" l="1"/>
  <c r="BC57" i="7"/>
  <c r="AS57" i="7"/>
  <c r="AU57" i="7"/>
  <c r="AC57" i="7"/>
  <c r="AE57" i="7"/>
  <c r="Q57" i="7" s="1"/>
  <c r="I62" i="15" s="1"/>
  <c r="K62" i="15" s="1"/>
  <c r="AG58" i="7"/>
  <c r="AL58" i="7" s="1"/>
  <c r="AH58" i="7"/>
  <c r="Q62" i="15" l="1"/>
  <c r="G57" i="7"/>
  <c r="Y58" i="7"/>
  <c r="AD58" i="7" s="1"/>
  <c r="Z58" i="7"/>
  <c r="AO58" i="7"/>
  <c r="AT58" i="7" s="1"/>
  <c r="I57" i="7"/>
  <c r="AP58" i="7"/>
  <c r="AI58" i="7"/>
  <c r="AM58" i="7" s="1"/>
  <c r="AW58" i="7"/>
  <c r="BB58" i="7" s="1"/>
  <c r="AX58" i="7"/>
  <c r="AA58" i="7" l="1"/>
  <c r="AY58" i="7"/>
  <c r="AQ58" i="7"/>
  <c r="R62" i="15"/>
  <c r="L56" i="9"/>
  <c r="AZ62" i="15" l="1"/>
  <c r="AS62" i="15"/>
  <c r="AT62" i="15"/>
  <c r="AV62" i="15"/>
  <c r="AX62" i="15"/>
  <c r="AU62" i="15"/>
  <c r="AW62" i="15"/>
  <c r="AY62" i="15"/>
  <c r="AR62" i="15"/>
  <c r="AQ62" i="15" l="1"/>
  <c r="S62" i="15" s="1"/>
  <c r="U62" i="15" s="1"/>
  <c r="V62" i="15" l="1"/>
  <c r="W62" i="15"/>
  <c r="BG62" i="15" l="1"/>
  <c r="BH62" i="15"/>
  <c r="BC62" i="15"/>
  <c r="BI62" i="15"/>
  <c r="BK62" i="15"/>
  <c r="BD62" i="15"/>
  <c r="BE62" i="15"/>
  <c r="BJ62" i="15"/>
  <c r="BF62" i="15"/>
  <c r="AH62" i="15"/>
  <c r="AG62" i="15"/>
  <c r="AL62" i="15"/>
  <c r="AO62" i="15"/>
  <c r="AE62" i="15"/>
  <c r="AF62" i="15"/>
  <c r="AK62" i="15"/>
  <c r="AD62" i="15"/>
  <c r="AI62" i="15"/>
  <c r="AN62" i="15"/>
  <c r="AJ62" i="15"/>
  <c r="BB62" i="15" l="1"/>
  <c r="L62" i="15" s="1"/>
  <c r="U57" i="7" s="1"/>
  <c r="V57" i="7" s="1"/>
  <c r="AC62" i="15"/>
  <c r="AA62" i="15" l="1"/>
  <c r="N56" i="9"/>
  <c r="F57" i="7"/>
  <c r="W58" i="7"/>
  <c r="S58" i="7"/>
  <c r="P58" i="7" s="1"/>
  <c r="M57" i="9" l="1"/>
  <c r="F63" i="15"/>
  <c r="G63" i="15" s="1"/>
  <c r="D110" i="13"/>
  <c r="P56" i="9"/>
  <c r="O56" i="9"/>
  <c r="E109" i="13" s="1"/>
  <c r="J109" i="13" s="1"/>
  <c r="F109" i="13" l="1"/>
  <c r="H57" i="7"/>
  <c r="E57" i="7" s="1"/>
  <c r="L109" i="13" s="1"/>
  <c r="N109" i="13" s="1"/>
  <c r="O109" i="13" s="1"/>
  <c r="BM63" i="15"/>
  <c r="BN63" i="15" s="1"/>
  <c r="BX63" i="15" s="1"/>
  <c r="BT63" i="15" s="1"/>
  <c r="BO63" i="15" s="1"/>
  <c r="BY63" i="15" s="1"/>
  <c r="BU63" i="15" s="1"/>
  <c r="BP63" i="15" l="1"/>
  <c r="BW63" i="15" l="1"/>
  <c r="BS63" i="15" s="1"/>
  <c r="BV63" i="15"/>
  <c r="BR63" i="15" l="1"/>
  <c r="K58" i="7" s="1"/>
  <c r="M58" i="7" s="1"/>
  <c r="N58" i="7" s="1"/>
  <c r="AB58" i="7" l="1"/>
  <c r="AJ58" i="7"/>
  <c r="AK58" i="7" s="1"/>
  <c r="N63" i="15"/>
  <c r="O63" i="15" s="1"/>
  <c r="AR58" i="7"/>
  <c r="AZ58" i="7"/>
  <c r="L58" i="7"/>
  <c r="T58" i="7" s="1"/>
  <c r="BA58" i="7" l="1"/>
  <c r="BC58" i="7"/>
  <c r="AS58" i="7"/>
  <c r="AU58" i="7"/>
  <c r="AG59" i="7"/>
  <c r="AL59" i="7" s="1"/>
  <c r="AH59" i="7"/>
  <c r="AC58" i="7"/>
  <c r="AE58" i="7"/>
  <c r="Q58" i="7" s="1"/>
  <c r="I63" i="15" s="1"/>
  <c r="K63" i="15" s="1"/>
  <c r="Q63" i="15" s="1"/>
  <c r="R63" i="15" l="1"/>
  <c r="L57" i="9"/>
  <c r="I58" i="7"/>
  <c r="AP59" i="7"/>
  <c r="AO59" i="7"/>
  <c r="AT59" i="7" s="1"/>
  <c r="G58" i="7"/>
  <c r="Y59" i="7"/>
  <c r="AD59" i="7" s="1"/>
  <c r="Z59" i="7"/>
  <c r="AX59" i="7"/>
  <c r="AW59" i="7"/>
  <c r="BB59" i="7" s="1"/>
  <c r="AI59" i="7"/>
  <c r="AM59" i="7" s="1"/>
  <c r="AY59" i="7" l="1"/>
  <c r="AA59" i="7"/>
  <c r="AQ59" i="7"/>
  <c r="AR63" i="15"/>
  <c r="AS63" i="15"/>
  <c r="AZ63" i="15"/>
  <c r="AU63" i="15"/>
  <c r="AV63" i="15"/>
  <c r="AW63" i="15"/>
  <c r="AT63" i="15"/>
  <c r="AX63" i="15"/>
  <c r="AY63" i="15"/>
  <c r="AQ63" i="15" l="1"/>
  <c r="S63" i="15" s="1"/>
  <c r="U63" i="15" s="1"/>
  <c r="V63" i="15" l="1"/>
  <c r="W63" i="15"/>
  <c r="BH63" i="15" l="1"/>
  <c r="BE63" i="15"/>
  <c r="BI63" i="15"/>
  <c r="BD63" i="15"/>
  <c r="BJ63" i="15"/>
  <c r="BG63" i="15"/>
  <c r="BC63" i="15"/>
  <c r="BF63" i="15"/>
  <c r="BK63" i="15"/>
  <c r="AF63" i="15"/>
  <c r="AN63" i="15"/>
  <c r="AK63" i="15"/>
  <c r="AG63" i="15"/>
  <c r="AD63" i="15"/>
  <c r="AH63" i="15"/>
  <c r="AL63" i="15"/>
  <c r="AI63" i="15"/>
  <c r="AJ63" i="15"/>
  <c r="AO63" i="15"/>
  <c r="AE63" i="15"/>
  <c r="BB63" i="15" l="1"/>
  <c r="L63" i="15" s="1"/>
  <c r="U58" i="7" s="1"/>
  <c r="V58" i="7" s="1"/>
  <c r="W59" i="7" s="1"/>
  <c r="AC63" i="15"/>
  <c r="AA63" i="15" l="1"/>
  <c r="N57" i="9"/>
  <c r="O57" i="9" s="1"/>
  <c r="E110" i="13" s="1"/>
  <c r="J110" i="13" s="1"/>
  <c r="S59" i="7"/>
  <c r="P59" i="7" s="1"/>
  <c r="F64" i="15" s="1"/>
  <c r="G64" i="15" s="1"/>
  <c r="F58" i="7"/>
  <c r="P57" i="9" l="1"/>
  <c r="F110" i="13" s="1"/>
  <c r="M58" i="9"/>
  <c r="D111" i="13"/>
  <c r="BM64" i="15"/>
  <c r="BN64" i="15" s="1"/>
  <c r="BX64" i="15" s="1"/>
  <c r="BT64" i="15" s="1"/>
  <c r="BO64" i="15" s="1"/>
  <c r="BY64" i="15" s="1"/>
  <c r="BU64" i="15" s="1"/>
  <c r="H58" i="7" l="1"/>
  <c r="E58" i="7" s="1"/>
  <c r="L110" i="13" s="1"/>
  <c r="N110" i="13" s="1"/>
  <c r="O110" i="13" s="1"/>
  <c r="BP64" i="15"/>
  <c r="BV64" i="15" l="1"/>
  <c r="BW64" i="15"/>
  <c r="BS64" i="15" s="1"/>
  <c r="BR64" i="15" s="1"/>
  <c r="K59" i="7" s="1"/>
  <c r="M59" i="7" l="1"/>
  <c r="N59" i="7" s="1"/>
  <c r="L59" i="7" l="1"/>
  <c r="T59" i="7" s="1"/>
  <c r="N64" i="15"/>
  <c r="O64" i="15" s="1"/>
  <c r="AZ59" i="7"/>
  <c r="AR59" i="7"/>
  <c r="AB59" i="7"/>
  <c r="AJ59" i="7"/>
  <c r="AK59" i="7" s="1"/>
  <c r="AH60" i="7" l="1"/>
  <c r="AG60" i="7"/>
  <c r="AL60" i="7" s="1"/>
  <c r="AC59" i="7"/>
  <c r="AE59" i="7"/>
  <c r="Q59" i="7" s="1"/>
  <c r="I64" i="15" s="1"/>
  <c r="K64" i="15" s="1"/>
  <c r="AS59" i="7"/>
  <c r="AU59" i="7"/>
  <c r="BA59" i="7"/>
  <c r="BC59" i="7"/>
  <c r="AI60" i="7" l="1"/>
  <c r="AM60" i="7" s="1"/>
  <c r="AW60" i="7"/>
  <c r="BB60" i="7" s="1"/>
  <c r="AX60" i="7"/>
  <c r="AP60" i="7"/>
  <c r="AO60" i="7"/>
  <c r="AT60" i="7" s="1"/>
  <c r="I59" i="7"/>
  <c r="G59" i="7"/>
  <c r="Z60" i="7"/>
  <c r="Y60" i="7"/>
  <c r="AD60" i="7" s="1"/>
  <c r="Q64" i="15"/>
  <c r="AY60" i="7" l="1"/>
  <c r="AQ60" i="7"/>
  <c r="AA60" i="7"/>
  <c r="R64" i="15"/>
  <c r="L58" i="9"/>
  <c r="AZ64" i="15" l="1"/>
  <c r="AS64" i="15"/>
  <c r="AT64" i="15"/>
  <c r="AU64" i="15"/>
  <c r="AX64" i="15"/>
  <c r="AV64" i="15"/>
  <c r="AR64" i="15"/>
  <c r="AW64" i="15"/>
  <c r="AY64" i="15"/>
  <c r="AQ64" i="15" l="1"/>
  <c r="S64" i="15" s="1"/>
  <c r="U64" i="15" s="1"/>
  <c r="V64" i="15" s="1"/>
  <c r="W64" i="15"/>
  <c r="BG64" i="15" l="1"/>
  <c r="BC64" i="15"/>
  <c r="BF64" i="15"/>
  <c r="BJ64" i="15"/>
  <c r="BI64" i="15"/>
  <c r="BD64" i="15"/>
  <c r="BH64" i="15"/>
  <c r="BE64" i="15"/>
  <c r="BK64" i="15"/>
  <c r="AK64" i="15"/>
  <c r="AJ64" i="15"/>
  <c r="AN64" i="15"/>
  <c r="AI64" i="15"/>
  <c r="AD64" i="15"/>
  <c r="AO64" i="15"/>
  <c r="AL64" i="15"/>
  <c r="AF64" i="15"/>
  <c r="AG64" i="15"/>
  <c r="AH64" i="15"/>
  <c r="AE64" i="15"/>
  <c r="AC64" i="15" l="1"/>
  <c r="BB64" i="15"/>
  <c r="L64" i="15" s="1"/>
  <c r="U59" i="7" s="1"/>
  <c r="V59" i="7" s="1"/>
  <c r="AA64" i="15" l="1"/>
  <c r="F59" i="7"/>
  <c r="W60" i="7"/>
  <c r="S60" i="7"/>
  <c r="P60" i="7" s="1"/>
  <c r="N58" i="9"/>
  <c r="P58" i="9" l="1"/>
  <c r="O58" i="9"/>
  <c r="E111" i="13" s="1"/>
  <c r="J111" i="13" s="1"/>
  <c r="F65" i="15"/>
  <c r="G65" i="15" s="1"/>
  <c r="M59" i="9"/>
  <c r="D112" i="13"/>
  <c r="BM65" i="15" l="1"/>
  <c r="BN65" i="15" s="1"/>
  <c r="BX65" i="15" s="1"/>
  <c r="BT65" i="15" s="1"/>
  <c r="BO65" i="15" s="1"/>
  <c r="BY65" i="15" s="1"/>
  <c r="BU65" i="15" s="1"/>
  <c r="F111" i="13"/>
  <c r="H59" i="7"/>
  <c r="E59" i="7" s="1"/>
  <c r="L111" i="13" s="1"/>
  <c r="N111" i="13" s="1"/>
  <c r="O111" i="13" s="1"/>
  <c r="BP65" i="15" l="1"/>
  <c r="BV65" i="15" l="1"/>
  <c r="BW65" i="15"/>
  <c r="BS65" i="15" s="1"/>
  <c r="BR65" i="15" s="1"/>
  <c r="K60" i="7" s="1"/>
  <c r="M60" i="7" l="1"/>
  <c r="N60" i="7" s="1"/>
  <c r="AJ60" i="7" l="1"/>
  <c r="AK60" i="7" s="1"/>
  <c r="AB60" i="7"/>
  <c r="N65" i="15"/>
  <c r="O65" i="15" s="1"/>
  <c r="AR60" i="7"/>
  <c r="AZ60" i="7"/>
  <c r="L60" i="7"/>
  <c r="T60" i="7" s="1"/>
  <c r="BA60" i="7" l="1"/>
  <c r="BC60" i="7"/>
  <c r="AS60" i="7"/>
  <c r="AU60" i="7"/>
  <c r="AC60" i="7"/>
  <c r="AE60" i="7"/>
  <c r="Q60" i="7" s="1"/>
  <c r="I65" i="15" s="1"/>
  <c r="K65" i="15" s="1"/>
  <c r="AG61" i="7"/>
  <c r="AL61" i="7" s="1"/>
  <c r="AH61" i="7"/>
  <c r="AI61" i="7" l="1"/>
  <c r="AM61" i="7" s="1"/>
  <c r="Q65" i="15"/>
  <c r="AO61" i="7"/>
  <c r="AT61" i="7" s="1"/>
  <c r="I60" i="7"/>
  <c r="AP61" i="7"/>
  <c r="AX61" i="7"/>
  <c r="AW61" i="7"/>
  <c r="BB61" i="7" s="1"/>
  <c r="Z61" i="7"/>
  <c r="G60" i="7"/>
  <c r="Y61" i="7"/>
  <c r="AD61" i="7" s="1"/>
  <c r="AQ61" i="7" l="1"/>
  <c r="Q61" i="7"/>
  <c r="I66" i="15" s="1"/>
  <c r="K66" i="15" s="1"/>
  <c r="W66" i="15" s="1"/>
  <c r="BC66" i="15" s="1"/>
  <c r="AA61" i="7"/>
  <c r="AE61" i="7" s="1"/>
  <c r="AY61" i="7"/>
  <c r="L59" i="9"/>
  <c r="R65" i="15"/>
  <c r="BJ66" i="15" l="1"/>
  <c r="BK66" i="15"/>
  <c r="BD66" i="15"/>
  <c r="BE66" i="15"/>
  <c r="BI66" i="15"/>
  <c r="BG66" i="15"/>
  <c r="BH66" i="15"/>
  <c r="BF66" i="15"/>
  <c r="AW65" i="15"/>
  <c r="AX65" i="15"/>
  <c r="AT65" i="15"/>
  <c r="AU65" i="15"/>
  <c r="AZ65" i="15"/>
  <c r="AR65" i="15"/>
  <c r="AS65" i="15"/>
  <c r="AV65" i="15"/>
  <c r="AY65" i="15"/>
  <c r="BB66" i="15" l="1"/>
  <c r="L66" i="15" s="1"/>
  <c r="U61" i="7" s="1"/>
  <c r="AQ65" i="15"/>
  <c r="S65" i="15" s="1"/>
  <c r="U65" i="15" s="1"/>
  <c r="V65" i="15" l="1"/>
  <c r="W65" i="15"/>
  <c r="BF65" i="15" l="1"/>
  <c r="BH65" i="15"/>
  <c r="BC65" i="15"/>
  <c r="BG65" i="15"/>
  <c r="BD65" i="15"/>
  <c r="BE65" i="15"/>
  <c r="BJ65" i="15"/>
  <c r="BI65" i="15"/>
  <c r="BK65" i="15"/>
  <c r="AE65" i="15"/>
  <c r="AI65" i="15"/>
  <c r="AG65" i="15"/>
  <c r="AJ65" i="15"/>
  <c r="AD65" i="15"/>
  <c r="AO65" i="15"/>
  <c r="AK65" i="15"/>
  <c r="AF65" i="15"/>
  <c r="AH65" i="15"/>
  <c r="AN65" i="15"/>
  <c r="AL65" i="15"/>
  <c r="AC65" i="15" l="1"/>
  <c r="BB65" i="15"/>
  <c r="L65" i="15" s="1"/>
  <c r="U60" i="7" s="1"/>
  <c r="V60" i="7" s="1"/>
  <c r="AA65" i="15" l="1"/>
  <c r="S61" i="7"/>
  <c r="P61" i="7" s="1"/>
  <c r="W61" i="7"/>
  <c r="F60" i="7"/>
  <c r="N59" i="9"/>
  <c r="O59" i="9" l="1"/>
  <c r="E112" i="13" s="1"/>
  <c r="J112" i="13" s="1"/>
  <c r="P59" i="9"/>
  <c r="M60" i="9"/>
  <c r="D113" i="13"/>
  <c r="F66" i="15"/>
  <c r="G66" i="15" s="1"/>
  <c r="BM66" i="15" l="1"/>
  <c r="BN66" i="15" s="1"/>
  <c r="BX66" i="15" s="1"/>
  <c r="BT66" i="15" s="1"/>
  <c r="BO66" i="15" s="1"/>
  <c r="BY66" i="15" s="1"/>
  <c r="BU66" i="15" s="1"/>
  <c r="F112" i="13"/>
  <c r="H60" i="7"/>
  <c r="E60" i="7" s="1"/>
  <c r="L112" i="13" s="1"/>
  <c r="N112" i="13" s="1"/>
  <c r="O112" i="13" s="1"/>
  <c r="BP66" i="15" l="1"/>
  <c r="BV66" i="15" l="1"/>
  <c r="BW66" i="15"/>
  <c r="BS66" i="15" s="1"/>
  <c r="BR66" i="15" s="1"/>
  <c r="K61" i="7" s="1"/>
  <c r="M61" i="7" l="1"/>
  <c r="N61" i="7" s="1"/>
  <c r="N66" i="15" l="1"/>
  <c r="AR61" i="7"/>
  <c r="AZ61" i="7"/>
  <c r="AB61" i="7"/>
  <c r="AC61" i="7" s="1"/>
  <c r="AJ61" i="7"/>
  <c r="AK61" i="7" s="1"/>
  <c r="L61" i="7"/>
  <c r="T61" i="7" s="1"/>
  <c r="V61" i="7" s="1"/>
  <c r="Q66" i="15" l="1"/>
  <c r="O66" i="15"/>
  <c r="S62" i="7"/>
  <c r="W62" i="7"/>
  <c r="F61" i="7"/>
  <c r="AG62" i="7"/>
  <c r="AL62" i="7" s="1"/>
  <c r="AH62" i="7"/>
  <c r="Y62" i="7"/>
  <c r="AD62" i="7" s="1"/>
  <c r="Z62" i="7"/>
  <c r="P62" i="7" s="1"/>
  <c r="G61" i="7"/>
  <c r="BA61" i="7"/>
  <c r="BC61" i="7"/>
  <c r="AS61" i="7"/>
  <c r="AU61" i="7"/>
  <c r="L60" i="9"/>
  <c r="R66" i="15"/>
  <c r="AI62" i="7" l="1"/>
  <c r="AM62" i="7" s="1"/>
  <c r="AA62" i="7"/>
  <c r="AR66" i="15"/>
  <c r="AZ66" i="15"/>
  <c r="AV66" i="15"/>
  <c r="AW66" i="15"/>
  <c r="AT66" i="15"/>
  <c r="AU66" i="15"/>
  <c r="AX66" i="15"/>
  <c r="AS66" i="15"/>
  <c r="AY66" i="15"/>
  <c r="AO62" i="7"/>
  <c r="AT62" i="7" s="1"/>
  <c r="AP62" i="7"/>
  <c r="I61" i="7"/>
  <c r="AW62" i="7"/>
  <c r="BB62" i="7" s="1"/>
  <c r="AX62" i="7"/>
  <c r="F67" i="15"/>
  <c r="G67" i="15" s="1"/>
  <c r="D114" i="13"/>
  <c r="M61" i="9"/>
  <c r="AQ62" i="7" l="1"/>
  <c r="AY62" i="7"/>
  <c r="BM67" i="15"/>
  <c r="BN67" i="15" s="1"/>
  <c r="BX67" i="15" s="1"/>
  <c r="BT67" i="15" s="1"/>
  <c r="BO67" i="15" s="1"/>
  <c r="BY67" i="15" s="1"/>
  <c r="BU67" i="15" s="1"/>
  <c r="AQ66" i="15"/>
  <c r="S66" i="15" s="1"/>
  <c r="U66" i="15" s="1"/>
  <c r="V66" i="15" s="1"/>
  <c r="AE62" i="7"/>
  <c r="Q62" i="7" s="1"/>
  <c r="I67" i="15" s="1"/>
  <c r="K67" i="15" s="1"/>
  <c r="W67" i="15" s="1"/>
  <c r="AL66" i="15" l="1"/>
  <c r="AH66" i="15"/>
  <c r="AE66" i="15"/>
  <c r="AK66" i="15"/>
  <c r="AF66" i="15"/>
  <c r="AN66" i="15"/>
  <c r="AI66" i="15"/>
  <c r="AG66" i="15"/>
  <c r="AO66" i="15"/>
  <c r="AD66" i="15"/>
  <c r="AJ66" i="15"/>
  <c r="BP67" i="15"/>
  <c r="BG67" i="15"/>
  <c r="BC67" i="15"/>
  <c r="BH67" i="15"/>
  <c r="BE67" i="15"/>
  <c r="BF67" i="15"/>
  <c r="BI67" i="15"/>
  <c r="BJ67" i="15"/>
  <c r="BD67" i="15"/>
  <c r="BK67" i="15"/>
  <c r="BV67" i="15" l="1"/>
  <c r="BW67" i="15"/>
  <c r="BS67" i="15" s="1"/>
  <c r="AC66" i="15"/>
  <c r="AA66" i="15" s="1"/>
  <c r="BB67" i="15"/>
  <c r="L67" i="15" s="1"/>
  <c r="U62" i="7" s="1"/>
  <c r="N60" i="9" l="1"/>
  <c r="BR67" i="15"/>
  <c r="K62" i="7" s="1"/>
  <c r="M62" i="7" s="1"/>
  <c r="N62" i="7" s="1"/>
  <c r="P60" i="9" l="1"/>
  <c r="O60" i="9"/>
  <c r="E113" i="13" s="1"/>
  <c r="J113" i="13" s="1"/>
  <c r="L62" i="7"/>
  <c r="T62" i="7" s="1"/>
  <c r="V62" i="7" s="1"/>
  <c r="F62" i="7" s="1"/>
  <c r="N67" i="15"/>
  <c r="AR62" i="7"/>
  <c r="AZ62" i="7"/>
  <c r="AJ62" i="7"/>
  <c r="AK62" i="7" s="1"/>
  <c r="AB62" i="7"/>
  <c r="AC62" i="7" s="1"/>
  <c r="F113" i="13"/>
  <c r="H61" i="7"/>
  <c r="E61" i="7" s="1"/>
  <c r="L113" i="13" s="1"/>
  <c r="Q67" i="15" l="1"/>
  <c r="O67" i="15"/>
  <c r="S63" i="7"/>
  <c r="W63" i="7"/>
  <c r="AH63" i="7"/>
  <c r="AG63" i="7"/>
  <c r="AL63" i="7" s="1"/>
  <c r="BA62" i="7"/>
  <c r="BC62" i="7"/>
  <c r="R67" i="15"/>
  <c r="L61" i="9"/>
  <c r="AS62" i="7"/>
  <c r="AU62" i="7"/>
  <c r="H58" i="13"/>
  <c r="N113" i="13"/>
  <c r="G62" i="7"/>
  <c r="Y63" i="7"/>
  <c r="AD63" i="7" s="1"/>
  <c r="Z63" i="7"/>
  <c r="P63" i="7" s="1"/>
  <c r="AO63" i="7" l="1"/>
  <c r="AT63" i="7" s="1"/>
  <c r="I62" i="7"/>
  <c r="AP63" i="7"/>
  <c r="AT67" i="15"/>
  <c r="AV67" i="15"/>
  <c r="AY67" i="15"/>
  <c r="AW67" i="15"/>
  <c r="AR67" i="15"/>
  <c r="AX67" i="15"/>
  <c r="AZ67" i="15"/>
  <c r="AU67" i="15"/>
  <c r="AS67" i="15"/>
  <c r="AX63" i="7"/>
  <c r="AW63" i="7"/>
  <c r="BB63" i="7" s="1"/>
  <c r="I58" i="13"/>
  <c r="O113" i="13"/>
  <c r="M62" i="9"/>
  <c r="F68" i="15"/>
  <c r="G68" i="15" s="1"/>
  <c r="D115" i="13"/>
  <c r="AI63" i="7"/>
  <c r="AA63" i="7"/>
  <c r="AQ63" i="7" l="1"/>
  <c r="AY63" i="7"/>
  <c r="AM63" i="7"/>
  <c r="BM68" i="15"/>
  <c r="BN68" i="15" s="1"/>
  <c r="BX68" i="15" s="1"/>
  <c r="BT68" i="15" s="1"/>
  <c r="BO68" i="15" s="1"/>
  <c r="BY68" i="15" s="1"/>
  <c r="BU68" i="15" s="1"/>
  <c r="AQ67" i="15"/>
  <c r="S67" i="15" s="1"/>
  <c r="U67" i="15" s="1"/>
  <c r="V67" i="15" s="1"/>
  <c r="AE63" i="7"/>
  <c r="Q63" i="7" s="1"/>
  <c r="I68" i="15" s="1"/>
  <c r="K68" i="15" s="1"/>
  <c r="W68" i="15" s="1"/>
  <c r="BP68" i="15" l="1"/>
  <c r="BI68" i="15"/>
  <c r="BK68" i="15"/>
  <c r="BG68" i="15"/>
  <c r="BH68" i="15"/>
  <c r="BE68" i="15"/>
  <c r="BF68" i="15"/>
  <c r="BJ68" i="15"/>
  <c r="BC68" i="15"/>
  <c r="BD68" i="15"/>
  <c r="AG67" i="15"/>
  <c r="AK67" i="15"/>
  <c r="AE67" i="15"/>
  <c r="AH67" i="15"/>
  <c r="AO67" i="15"/>
  <c r="AJ67" i="15"/>
  <c r="AD67" i="15"/>
  <c r="AI67" i="15"/>
  <c r="AL67" i="15"/>
  <c r="AF67" i="15"/>
  <c r="AN67" i="15"/>
  <c r="AC67" i="15" l="1"/>
  <c r="AA67" i="15" s="1"/>
  <c r="BB68" i="15"/>
  <c r="L68" i="15" s="1"/>
  <c r="U63" i="7" s="1"/>
  <c r="BV68" i="15"/>
  <c r="BW68" i="15"/>
  <c r="BS68" i="15" s="1"/>
  <c r="BR68" i="15" s="1"/>
  <c r="K63" i="7" s="1"/>
  <c r="N61" i="9" l="1"/>
  <c r="M63" i="7"/>
  <c r="N63" i="7" s="1"/>
  <c r="P61" i="9" l="1"/>
  <c r="F114" i="13" s="1"/>
  <c r="O61" i="9"/>
  <c r="E114" i="13" s="1"/>
  <c r="J114" i="13" s="1"/>
  <c r="N68" i="15"/>
  <c r="AR63" i="7"/>
  <c r="AZ63" i="7"/>
  <c r="AJ63" i="7"/>
  <c r="AK63" i="7" s="1"/>
  <c r="AB63" i="7"/>
  <c r="AC63" i="7" s="1"/>
  <c r="L63" i="7"/>
  <c r="T63" i="7" s="1"/>
  <c r="V63" i="7" s="1"/>
  <c r="H62" i="7" l="1"/>
  <c r="E62" i="7" s="1"/>
  <c r="L114" i="13" s="1"/>
  <c r="N114" i="13" s="1"/>
  <c r="O114" i="13" s="1"/>
  <c r="Q68" i="15"/>
  <c r="L62" i="9" s="1"/>
  <c r="O68" i="15"/>
  <c r="Z64" i="7"/>
  <c r="P64" i="7" s="1"/>
  <c r="G63" i="7"/>
  <c r="Y64" i="7"/>
  <c r="AD64" i="7" s="1"/>
  <c r="W64" i="7"/>
  <c r="S64" i="7"/>
  <c r="F63" i="7"/>
  <c r="AH64" i="7"/>
  <c r="AG64" i="7"/>
  <c r="AL64" i="7" s="1"/>
  <c r="BA63" i="7"/>
  <c r="BC63" i="7"/>
  <c r="AS63" i="7"/>
  <c r="AU63" i="7"/>
  <c r="R68" i="15" l="1"/>
  <c r="AW68" i="15" s="1"/>
  <c r="AA64" i="7"/>
  <c r="AE64" i="7" s="1"/>
  <c r="AI64" i="7"/>
  <c r="AM64" i="7" s="1"/>
  <c r="AR68" i="15"/>
  <c r="AT68" i="15"/>
  <c r="AP64" i="7"/>
  <c r="AO64" i="7"/>
  <c r="AT64" i="7" s="1"/>
  <c r="I63" i="7"/>
  <c r="AX64" i="7"/>
  <c r="AW64" i="7"/>
  <c r="BB64" i="7" s="1"/>
  <c r="F69" i="15"/>
  <c r="G69" i="15" s="1"/>
  <c r="D116" i="13"/>
  <c r="M63" i="9"/>
  <c r="AX68" i="15" l="1"/>
  <c r="AU68" i="15"/>
  <c r="AS68" i="15"/>
  <c r="AZ68" i="15"/>
  <c r="AY68" i="15"/>
  <c r="AV68" i="15"/>
  <c r="Q64" i="7"/>
  <c r="I69" i="15" s="1"/>
  <c r="K69" i="15" s="1"/>
  <c r="W69" i="15" s="1"/>
  <c r="BC69" i="15" s="1"/>
  <c r="AQ64" i="7"/>
  <c r="BM69" i="15"/>
  <c r="BN69" i="15" s="1"/>
  <c r="BX69" i="15" s="1"/>
  <c r="BT69" i="15" s="1"/>
  <c r="BO69" i="15" s="1"/>
  <c r="BY69" i="15" s="1"/>
  <c r="BU69" i="15" s="1"/>
  <c r="AQ68" i="15"/>
  <c r="S68" i="15" s="1"/>
  <c r="U68" i="15" s="1"/>
  <c r="V68" i="15" s="1"/>
  <c r="AY64" i="7"/>
  <c r="BJ69" i="15" l="1"/>
  <c r="BH69" i="15"/>
  <c r="BD69" i="15"/>
  <c r="BF69" i="15"/>
  <c r="BG69" i="15"/>
  <c r="BE69" i="15"/>
  <c r="BI69" i="15"/>
  <c r="BK69" i="15"/>
  <c r="AH68" i="15"/>
  <c r="AI68" i="15"/>
  <c r="AF68" i="15"/>
  <c r="AN68" i="15"/>
  <c r="AJ68" i="15"/>
  <c r="AL68" i="15"/>
  <c r="AD68" i="15"/>
  <c r="AE68" i="15"/>
  <c r="AG68" i="15"/>
  <c r="AO68" i="15"/>
  <c r="AK68" i="15"/>
  <c r="BP69" i="15"/>
  <c r="BB69" i="15" l="1"/>
  <c r="L69" i="15" s="1"/>
  <c r="U64" i="7" s="1"/>
  <c r="BV69" i="15"/>
  <c r="BW69" i="15"/>
  <c r="BS69" i="15" s="1"/>
  <c r="AC68" i="15"/>
  <c r="AA68" i="15" s="1"/>
  <c r="BR69" i="15" l="1"/>
  <c r="K64" i="7" s="1"/>
  <c r="M64" i="7" s="1"/>
  <c r="N64" i="7" s="1"/>
  <c r="N62" i="9"/>
  <c r="O62" i="9" l="1"/>
  <c r="E115" i="13" s="1"/>
  <c r="J115" i="13" s="1"/>
  <c r="P62" i="9"/>
  <c r="F115" i="13" s="1"/>
  <c r="N69" i="15"/>
  <c r="AR64" i="7"/>
  <c r="AZ64" i="7"/>
  <c r="AJ64" i="7"/>
  <c r="AK64" i="7" s="1"/>
  <c r="AB64" i="7"/>
  <c r="AC64" i="7" s="1"/>
  <c r="L64" i="7"/>
  <c r="T64" i="7" s="1"/>
  <c r="V64" i="7" s="1"/>
  <c r="H63" i="7" l="1"/>
  <c r="E63" i="7" s="1"/>
  <c r="L115" i="13" s="1"/>
  <c r="N115" i="13" s="1"/>
  <c r="O115" i="13" s="1"/>
  <c r="Q69" i="15"/>
  <c r="R69" i="15" s="1"/>
  <c r="O69" i="15"/>
  <c r="F64" i="7"/>
  <c r="S65" i="7"/>
  <c r="W65" i="7"/>
  <c r="Y65" i="7"/>
  <c r="AD65" i="7" s="1"/>
  <c r="G64" i="7"/>
  <c r="Z65" i="7"/>
  <c r="P65" i="7" s="1"/>
  <c r="AG65" i="7"/>
  <c r="AL65" i="7" s="1"/>
  <c r="AH65" i="7"/>
  <c r="BA64" i="7"/>
  <c r="BC64" i="7"/>
  <c r="AS64" i="7"/>
  <c r="AU64" i="7"/>
  <c r="L63" i="9" l="1"/>
  <c r="AA65" i="7"/>
  <c r="AE65" i="7" s="1"/>
  <c r="Q65" i="7" s="1"/>
  <c r="I70" i="15" s="1"/>
  <c r="K70" i="15" s="1"/>
  <c r="W70" i="15" s="1"/>
  <c r="BC70" i="15" s="1"/>
  <c r="AI65" i="7"/>
  <c r="AM65" i="7" s="1"/>
  <c r="F70" i="15"/>
  <c r="G70" i="15" s="1"/>
  <c r="D117" i="13"/>
  <c r="M64" i="9"/>
  <c r="AO65" i="7"/>
  <c r="AT65" i="7" s="1"/>
  <c r="I64" i="7"/>
  <c r="AP65" i="7"/>
  <c r="AW65" i="7"/>
  <c r="BB65" i="7" s="1"/>
  <c r="AX65" i="7"/>
  <c r="AV69" i="15"/>
  <c r="AZ69" i="15"/>
  <c r="AW69" i="15"/>
  <c r="AS69" i="15"/>
  <c r="AT69" i="15"/>
  <c r="AR69" i="15"/>
  <c r="AU69" i="15"/>
  <c r="AY69" i="15"/>
  <c r="AX69" i="15"/>
  <c r="AY65" i="7" l="1"/>
  <c r="BE70" i="15"/>
  <c r="BI70" i="15"/>
  <c r="BD70" i="15"/>
  <c r="BG70" i="15"/>
  <c r="BF70" i="15"/>
  <c r="BH70" i="15"/>
  <c r="BJ70" i="15"/>
  <c r="BK70" i="15"/>
  <c r="AQ65" i="7"/>
  <c r="AQ69" i="15"/>
  <c r="S69" i="15" s="1"/>
  <c r="U69" i="15" s="1"/>
  <c r="V69" i="15" s="1"/>
  <c r="BM70" i="15"/>
  <c r="BN70" i="15" s="1"/>
  <c r="BX70" i="15" s="1"/>
  <c r="BT70" i="15" s="1"/>
  <c r="BO70" i="15" s="1"/>
  <c r="BY70" i="15" s="1"/>
  <c r="BU70" i="15" s="1"/>
  <c r="BB70" i="15" l="1"/>
  <c r="L70" i="15" s="1"/>
  <c r="U65" i="7" s="1"/>
  <c r="AH69" i="15"/>
  <c r="AF69" i="15"/>
  <c r="AL69" i="15"/>
  <c r="AD69" i="15"/>
  <c r="AN69" i="15"/>
  <c r="AI69" i="15"/>
  <c r="AG69" i="15"/>
  <c r="AJ69" i="15"/>
  <c r="AK69" i="15"/>
  <c r="AE69" i="15"/>
  <c r="AO69" i="15"/>
  <c r="BP70" i="15"/>
  <c r="AC69" i="15" l="1"/>
  <c r="AA69" i="15" s="1"/>
  <c r="BW70" i="15"/>
  <c r="BS70" i="15" s="1"/>
  <c r="BV70" i="15"/>
  <c r="N63" i="9" l="1"/>
  <c r="BR70" i="15"/>
  <c r="K65" i="7" s="1"/>
  <c r="M65" i="7" s="1"/>
  <c r="N65" i="7" s="1"/>
  <c r="O63" i="9" l="1"/>
  <c r="E116" i="13" s="1"/>
  <c r="J116" i="13" s="1"/>
  <c r="P63" i="9"/>
  <c r="F116" i="13" s="1"/>
  <c r="N70" i="15"/>
  <c r="AZ65" i="7"/>
  <c r="AR65" i="7"/>
  <c r="AJ65" i="7"/>
  <c r="AK65" i="7" s="1"/>
  <c r="AB65" i="7"/>
  <c r="AC65" i="7" s="1"/>
  <c r="L65" i="7"/>
  <c r="T65" i="7" s="1"/>
  <c r="V65" i="7" s="1"/>
  <c r="H64" i="7" l="1"/>
  <c r="E64" i="7" s="1"/>
  <c r="L116" i="13" s="1"/>
  <c r="N116" i="13" s="1"/>
  <c r="O116" i="13" s="1"/>
  <c r="Q70" i="15"/>
  <c r="R70" i="15" s="1"/>
  <c r="O70" i="15"/>
  <c r="Y66" i="7"/>
  <c r="AD66" i="7" s="1"/>
  <c r="G65" i="7"/>
  <c r="Z66" i="7"/>
  <c r="F65" i="7"/>
  <c r="W66" i="7"/>
  <c r="S66" i="7"/>
  <c r="AH66" i="7"/>
  <c r="AG66" i="7"/>
  <c r="AL66" i="7" s="1"/>
  <c r="AS65" i="7"/>
  <c r="AU65" i="7"/>
  <c r="BA65" i="7"/>
  <c r="BC65" i="7"/>
  <c r="L64" i="9" l="1"/>
  <c r="P66" i="7"/>
  <c r="D118" i="13" s="1"/>
  <c r="AI66" i="7"/>
  <c r="AM66" i="7" s="1"/>
  <c r="AA66" i="7"/>
  <c r="AE66" i="7" s="1"/>
  <c r="Q66" i="7" s="1"/>
  <c r="I71" i="15" s="1"/>
  <c r="K71" i="15" s="1"/>
  <c r="W71" i="15" s="1"/>
  <c r="AW66" i="7"/>
  <c r="BB66" i="7" s="1"/>
  <c r="AX66" i="7"/>
  <c r="AP66" i="7"/>
  <c r="I65" i="7"/>
  <c r="AO66" i="7"/>
  <c r="AT66" i="7" s="1"/>
  <c r="AZ70" i="15"/>
  <c r="AW70" i="15"/>
  <c r="AS70" i="15"/>
  <c r="AT70" i="15"/>
  <c r="AR70" i="15"/>
  <c r="AX70" i="15"/>
  <c r="AY70" i="15"/>
  <c r="AU70" i="15"/>
  <c r="AV70" i="15"/>
  <c r="M65" i="9" l="1"/>
  <c r="F71" i="15"/>
  <c r="G71" i="15" s="1"/>
  <c r="BM71" i="15" s="1"/>
  <c r="BN71" i="15" s="1"/>
  <c r="BX71" i="15" s="1"/>
  <c r="BT71" i="15" s="1"/>
  <c r="BO71" i="15" s="1"/>
  <c r="BY71" i="15" s="1"/>
  <c r="BU71" i="15" s="1"/>
  <c r="AY66" i="7"/>
  <c r="AQ70" i="15"/>
  <c r="S70" i="15" s="1"/>
  <c r="U70" i="15" s="1"/>
  <c r="V70" i="15" s="1"/>
  <c r="AQ66" i="7"/>
  <c r="BF71" i="15"/>
  <c r="BG71" i="15"/>
  <c r="BD71" i="15"/>
  <c r="BC71" i="15"/>
  <c r="BH71" i="15"/>
  <c r="BI71" i="15"/>
  <c r="BK71" i="15"/>
  <c r="BJ71" i="15"/>
  <c r="BE71" i="15"/>
  <c r="AD70" i="15" l="1"/>
  <c r="AL70" i="15"/>
  <c r="AN70" i="15"/>
  <c r="AO70" i="15"/>
  <c r="AJ70" i="15"/>
  <c r="AK70" i="15"/>
  <c r="AG70" i="15"/>
  <c r="AE70" i="15"/>
  <c r="AF70" i="15"/>
  <c r="AH70" i="15"/>
  <c r="AI70" i="15"/>
  <c r="BB71" i="15"/>
  <c r="L71" i="15" s="1"/>
  <c r="U66" i="7" s="1"/>
  <c r="BP71" i="15"/>
  <c r="BW71" i="15" l="1"/>
  <c r="BS71" i="15" s="1"/>
  <c r="BR71" i="15" s="1"/>
  <c r="K66" i="7" s="1"/>
  <c r="BV71" i="15"/>
  <c r="AC70" i="15"/>
  <c r="AA70" i="15" s="1"/>
  <c r="N64" i="9" l="1"/>
  <c r="M66" i="7"/>
  <c r="N66" i="7" s="1"/>
  <c r="P64" i="9" l="1"/>
  <c r="O64" i="9"/>
  <c r="E117" i="13" s="1"/>
  <c r="J117" i="13" s="1"/>
  <c r="AJ66" i="7"/>
  <c r="AK66" i="7" s="1"/>
  <c r="AB66" i="7"/>
  <c r="AC66" i="7" s="1"/>
  <c r="N71" i="15"/>
  <c r="AZ66" i="7"/>
  <c r="AR66" i="7"/>
  <c r="L66" i="7"/>
  <c r="T66" i="7" s="1"/>
  <c r="V66" i="7" s="1"/>
  <c r="F117" i="13"/>
  <c r="H65" i="7"/>
  <c r="E65" i="7" s="1"/>
  <c r="L117" i="13" s="1"/>
  <c r="N117" i="13" s="1"/>
  <c r="O117" i="13" s="1"/>
  <c r="Q71" i="15" l="1"/>
  <c r="R71" i="15" s="1"/>
  <c r="O71" i="15"/>
  <c r="S67" i="7"/>
  <c r="F66" i="7"/>
  <c r="W67" i="7"/>
  <c r="AS66" i="7"/>
  <c r="AU66" i="7"/>
  <c r="BA66" i="7"/>
  <c r="BC66" i="7"/>
  <c r="L65" i="9"/>
  <c r="G66" i="7"/>
  <c r="Y67" i="7"/>
  <c r="AD67" i="7" s="1"/>
  <c r="Z67" i="7"/>
  <c r="P67" i="7" s="1"/>
  <c r="AG67" i="7"/>
  <c r="AL67" i="7" s="1"/>
  <c r="AH67" i="7"/>
  <c r="AI67" i="7" l="1"/>
  <c r="AM67" i="7" s="1"/>
  <c r="AA67" i="7"/>
  <c r="AE67" i="7" s="1"/>
  <c r="Q67" i="7" s="1"/>
  <c r="I72" i="15" s="1"/>
  <c r="K72" i="15" s="1"/>
  <c r="W72" i="15" s="1"/>
  <c r="BE72" i="15" s="1"/>
  <c r="AX67" i="7"/>
  <c r="AW67" i="7"/>
  <c r="BB67" i="7" s="1"/>
  <c r="F72" i="15"/>
  <c r="G72" i="15" s="1"/>
  <c r="M66" i="9"/>
  <c r="D119" i="13"/>
  <c r="AO67" i="7"/>
  <c r="AT67" i="7" s="1"/>
  <c r="I66" i="7"/>
  <c r="AP67" i="7"/>
  <c r="AW71" i="15"/>
  <c r="AY71" i="15"/>
  <c r="AT71" i="15"/>
  <c r="AS71" i="15"/>
  <c r="AU71" i="15"/>
  <c r="AZ71" i="15"/>
  <c r="AR71" i="15"/>
  <c r="AV71" i="15"/>
  <c r="AX71" i="15"/>
  <c r="BI72" i="15" l="1"/>
  <c r="BD72" i="15"/>
  <c r="BF72" i="15"/>
  <c r="BK72" i="15"/>
  <c r="BC72" i="15"/>
  <c r="BG72" i="15"/>
  <c r="BJ72" i="15"/>
  <c r="BH72" i="15"/>
  <c r="AQ67" i="7"/>
  <c r="AQ71" i="15"/>
  <c r="S71" i="15" s="1"/>
  <c r="U71" i="15" s="1"/>
  <c r="V71" i="15" s="1"/>
  <c r="BM72" i="15"/>
  <c r="BN72" i="15" s="1"/>
  <c r="BX72" i="15" s="1"/>
  <c r="BT72" i="15" s="1"/>
  <c r="BO72" i="15" s="1"/>
  <c r="BY72" i="15" s="1"/>
  <c r="BU72" i="15" s="1"/>
  <c r="AY67" i="7"/>
  <c r="BB72" i="15" l="1"/>
  <c r="L72" i="15" s="1"/>
  <c r="U67" i="7" s="1"/>
  <c r="BP72" i="15"/>
  <c r="AL71" i="15"/>
  <c r="AJ71" i="15"/>
  <c r="AI71" i="15"/>
  <c r="AE71" i="15"/>
  <c r="AD71" i="15"/>
  <c r="AO71" i="15"/>
  <c r="AK71" i="15"/>
  <c r="AG71" i="15"/>
  <c r="AF71" i="15"/>
  <c r="AN71" i="15"/>
  <c r="AH71" i="15"/>
  <c r="AC71" i="15" l="1"/>
  <c r="AA71" i="15" s="1"/>
  <c r="BV72" i="15"/>
  <c r="BW72" i="15"/>
  <c r="BS72" i="15" s="1"/>
  <c r="BR72" i="15" s="1"/>
  <c r="K67" i="7" s="1"/>
  <c r="N65" i="9" l="1"/>
  <c r="M67" i="7"/>
  <c r="N67" i="7" s="1"/>
  <c r="P65" i="9" l="1"/>
  <c r="F118" i="13" s="1"/>
  <c r="O65" i="9"/>
  <c r="E118" i="13" s="1"/>
  <c r="J118" i="13" s="1"/>
  <c r="AJ67" i="7"/>
  <c r="AK67" i="7" s="1"/>
  <c r="AB67" i="7"/>
  <c r="AC67" i="7" s="1"/>
  <c r="N72" i="15"/>
  <c r="AR67" i="7"/>
  <c r="AZ67" i="7"/>
  <c r="L67" i="7"/>
  <c r="T67" i="7" s="1"/>
  <c r="V67" i="7" s="1"/>
  <c r="H66" i="7" l="1"/>
  <c r="E66" i="7" s="1"/>
  <c r="L118" i="13" s="1"/>
  <c r="N118" i="13" s="1"/>
  <c r="O118" i="13" s="1"/>
  <c r="Q72" i="15"/>
  <c r="R72" i="15" s="1"/>
  <c r="O72" i="15"/>
  <c r="W68" i="7"/>
  <c r="F67" i="7"/>
  <c r="S68" i="7"/>
  <c r="BA67" i="7"/>
  <c r="BC67" i="7"/>
  <c r="AS67" i="7"/>
  <c r="AU67" i="7"/>
  <c r="L66" i="9"/>
  <c r="Y68" i="7"/>
  <c r="AD68" i="7" s="1"/>
  <c r="Z68" i="7"/>
  <c r="P68" i="7" s="1"/>
  <c r="G67" i="7"/>
  <c r="AH68" i="7"/>
  <c r="AG68" i="7"/>
  <c r="AL68" i="7" s="1"/>
  <c r="AI68" i="7" l="1"/>
  <c r="AM68" i="7" s="1"/>
  <c r="I67" i="7"/>
  <c r="AO68" i="7"/>
  <c r="AT68" i="7" s="1"/>
  <c r="AP68" i="7"/>
  <c r="F73" i="15"/>
  <c r="G73" i="15" s="1"/>
  <c r="D120" i="13"/>
  <c r="M67" i="9"/>
  <c r="AW68" i="7"/>
  <c r="BB68" i="7" s="1"/>
  <c r="AX68" i="7"/>
  <c r="AA68" i="7"/>
  <c r="AW72" i="15"/>
  <c r="AT72" i="15"/>
  <c r="AU72" i="15"/>
  <c r="AV72" i="15"/>
  <c r="AX72" i="15"/>
  <c r="AR72" i="15"/>
  <c r="AZ72" i="15"/>
  <c r="AS72" i="15"/>
  <c r="AY72" i="15"/>
  <c r="BM73" i="15" l="1"/>
  <c r="BN73" i="15" s="1"/>
  <c r="BX73" i="15" s="1"/>
  <c r="BT73" i="15" s="1"/>
  <c r="BO73" i="15" s="1"/>
  <c r="BY73" i="15" s="1"/>
  <c r="BU73" i="15" s="1"/>
  <c r="AE68" i="7"/>
  <c r="Q68" i="7" s="1"/>
  <c r="I73" i="15" s="1"/>
  <c r="K73" i="15" s="1"/>
  <c r="W73" i="15" s="1"/>
  <c r="AQ72" i="15"/>
  <c r="S72" i="15" s="1"/>
  <c r="U72" i="15" s="1"/>
  <c r="V72" i="15" s="1"/>
  <c r="AY68" i="7"/>
  <c r="AQ68" i="7"/>
  <c r="BG73" i="15" l="1"/>
  <c r="BK73" i="15"/>
  <c r="BJ73" i="15"/>
  <c r="BE73" i="15"/>
  <c r="BI73" i="15"/>
  <c r="BH73" i="15"/>
  <c r="BD73" i="15"/>
  <c r="BC73" i="15"/>
  <c r="BF73" i="15"/>
  <c r="BP73" i="15"/>
  <c r="AF72" i="15"/>
  <c r="AI72" i="15"/>
  <c r="AJ72" i="15"/>
  <c r="AD72" i="15"/>
  <c r="AG72" i="15"/>
  <c r="AE72" i="15"/>
  <c r="AN72" i="15"/>
  <c r="AO72" i="15"/>
  <c r="AH72" i="15"/>
  <c r="AK72" i="15"/>
  <c r="AL72" i="15"/>
  <c r="BB73" i="15" l="1"/>
  <c r="L73" i="15" s="1"/>
  <c r="U68" i="7" s="1"/>
  <c r="AC72" i="15"/>
  <c r="AA72" i="15" s="1"/>
  <c r="BW73" i="15"/>
  <c r="BS73" i="15" s="1"/>
  <c r="BV73" i="15"/>
  <c r="N66" i="9" l="1"/>
  <c r="BR73" i="15"/>
  <c r="K68" i="7" s="1"/>
  <c r="M68" i="7" s="1"/>
  <c r="N68" i="7" s="1"/>
  <c r="O66" i="9" l="1"/>
  <c r="E119" i="13" s="1"/>
  <c r="J119" i="13" s="1"/>
  <c r="P66" i="9"/>
  <c r="F119" i="13" s="1"/>
  <c r="AJ68" i="7"/>
  <c r="AK68" i="7" s="1"/>
  <c r="AB68" i="7"/>
  <c r="AC68" i="7" s="1"/>
  <c r="L68" i="7"/>
  <c r="T68" i="7" s="1"/>
  <c r="V68" i="7" s="1"/>
  <c r="N73" i="15"/>
  <c r="AR68" i="7"/>
  <c r="AZ68" i="7"/>
  <c r="H67" i="7" l="1"/>
  <c r="E67" i="7" s="1"/>
  <c r="L119" i="13" s="1"/>
  <c r="N119" i="13" s="1"/>
  <c r="O119" i="13" s="1"/>
  <c r="Q73" i="15"/>
  <c r="O73" i="15"/>
  <c r="BA68" i="7"/>
  <c r="BC68" i="7"/>
  <c r="AS68" i="7"/>
  <c r="AU68" i="7"/>
  <c r="R73" i="15"/>
  <c r="L67" i="9"/>
  <c r="W69" i="7"/>
  <c r="S69" i="7"/>
  <c r="F68" i="7"/>
  <c r="G68" i="7"/>
  <c r="Y69" i="7"/>
  <c r="AD69" i="7" s="1"/>
  <c r="Z69" i="7"/>
  <c r="P69" i="7" s="1"/>
  <c r="AH69" i="7"/>
  <c r="AG69" i="7"/>
  <c r="AL69" i="7" s="1"/>
  <c r="AA69" i="7" l="1"/>
  <c r="AE69" i="7" s="1"/>
  <c r="AW73" i="15"/>
  <c r="AU73" i="15"/>
  <c r="AR73" i="15"/>
  <c r="AZ73" i="15"/>
  <c r="AV73" i="15"/>
  <c r="AS73" i="15"/>
  <c r="AX73" i="15"/>
  <c r="AT73" i="15"/>
  <c r="AY73" i="15"/>
  <c r="D121" i="13"/>
  <c r="M68" i="9"/>
  <c r="F74" i="15"/>
  <c r="G74" i="15" s="1"/>
  <c r="AP69" i="7"/>
  <c r="I68" i="7"/>
  <c r="AO69" i="7"/>
  <c r="AT69" i="7" s="1"/>
  <c r="AI69" i="7"/>
  <c r="AX69" i="7"/>
  <c r="AW69" i="7"/>
  <c r="BB69" i="7" s="1"/>
  <c r="AQ69" i="7" l="1"/>
  <c r="AY69" i="7"/>
  <c r="BM74" i="15"/>
  <c r="BN74" i="15" s="1"/>
  <c r="BX74" i="15" s="1"/>
  <c r="BT74" i="15" s="1"/>
  <c r="BO74" i="15" s="1"/>
  <c r="BY74" i="15" s="1"/>
  <c r="BU74" i="15" s="1"/>
  <c r="AM69" i="7"/>
  <c r="Q69" i="7" s="1"/>
  <c r="I74" i="15" s="1"/>
  <c r="K74" i="15" s="1"/>
  <c r="W74" i="15" s="1"/>
  <c r="AQ73" i="15"/>
  <c r="S73" i="15" s="1"/>
  <c r="U73" i="15" s="1"/>
  <c r="V73" i="15" s="1"/>
  <c r="BG74" i="15" l="1"/>
  <c r="BK74" i="15"/>
  <c r="BF74" i="15"/>
  <c r="BC74" i="15"/>
  <c r="BH74" i="15"/>
  <c r="BD74" i="15"/>
  <c r="BE74" i="15"/>
  <c r="BI74" i="15"/>
  <c r="BJ74" i="15"/>
  <c r="BP74" i="15"/>
  <c r="AF73" i="15"/>
  <c r="AL73" i="15"/>
  <c r="AN73" i="15"/>
  <c r="AO73" i="15"/>
  <c r="AE73" i="15"/>
  <c r="AK73" i="15"/>
  <c r="AG73" i="15"/>
  <c r="AI73" i="15"/>
  <c r="AD73" i="15"/>
  <c r="AH73" i="15"/>
  <c r="AJ73" i="15"/>
  <c r="BB74" i="15" l="1"/>
  <c r="L74" i="15" s="1"/>
  <c r="U69" i="7" s="1"/>
  <c r="AC73" i="15"/>
  <c r="AA73" i="15" s="1"/>
  <c r="BV74" i="15"/>
  <c r="BW74" i="15"/>
  <c r="BS74" i="15" s="1"/>
  <c r="BR74" i="15" s="1"/>
  <c r="K69" i="7" s="1"/>
  <c r="N67" i="9" l="1"/>
  <c r="M69" i="7"/>
  <c r="N69" i="7" s="1"/>
  <c r="O67" i="9" l="1"/>
  <c r="E120" i="13" s="1"/>
  <c r="J120" i="13" s="1"/>
  <c r="P67" i="9"/>
  <c r="F120" i="13" s="1"/>
  <c r="N74" i="15"/>
  <c r="AR69" i="7"/>
  <c r="AZ69" i="7"/>
  <c r="AB69" i="7"/>
  <c r="AC69" i="7" s="1"/>
  <c r="AJ69" i="7"/>
  <c r="AK69" i="7" s="1"/>
  <c r="L69" i="7"/>
  <c r="T69" i="7" s="1"/>
  <c r="V69" i="7" s="1"/>
  <c r="H68" i="7" l="1"/>
  <c r="E68" i="7" s="1"/>
  <c r="L120" i="13" s="1"/>
  <c r="N120" i="13" s="1"/>
  <c r="O120" i="13" s="1"/>
  <c r="Q74" i="15"/>
  <c r="O74" i="15"/>
  <c r="S70" i="7"/>
  <c r="F69" i="7"/>
  <c r="W70" i="7"/>
  <c r="AG70" i="7"/>
  <c r="AL70" i="7" s="1"/>
  <c r="AH70" i="7"/>
  <c r="G69" i="7"/>
  <c r="Y70" i="7"/>
  <c r="AD70" i="7" s="1"/>
  <c r="Z70" i="7"/>
  <c r="P70" i="7" s="1"/>
  <c r="BA69" i="7"/>
  <c r="BC69" i="7"/>
  <c r="AS69" i="7"/>
  <c r="AU69" i="7"/>
  <c r="R74" i="15"/>
  <c r="L68" i="9"/>
  <c r="AI70" i="7" l="1"/>
  <c r="AM70" i="7" s="1"/>
  <c r="AW74" i="15"/>
  <c r="AV74" i="15"/>
  <c r="AY74" i="15"/>
  <c r="AX74" i="15"/>
  <c r="AR74" i="15"/>
  <c r="AZ74" i="15"/>
  <c r="AT74" i="15"/>
  <c r="AS74" i="15"/>
  <c r="AU74" i="15"/>
  <c r="AO70" i="7"/>
  <c r="AT70" i="7" s="1"/>
  <c r="AP70" i="7"/>
  <c r="I69" i="7"/>
  <c r="AW70" i="7"/>
  <c r="BB70" i="7" s="1"/>
  <c r="AX70" i="7"/>
  <c r="AA70" i="7"/>
  <c r="F75" i="15"/>
  <c r="G75" i="15" s="1"/>
  <c r="M69" i="9"/>
  <c r="D122" i="13"/>
  <c r="AQ70" i="7" l="1"/>
  <c r="AU70" i="7" s="1"/>
  <c r="AY70" i="7"/>
  <c r="BC70" i="7" s="1"/>
  <c r="AQ74" i="15"/>
  <c r="S74" i="15" s="1"/>
  <c r="U74" i="15" s="1"/>
  <c r="V74" i="15" s="1"/>
  <c r="AE70" i="7"/>
  <c r="Q70" i="7" s="1"/>
  <c r="I75" i="15" s="1"/>
  <c r="K75" i="15" s="1"/>
  <c r="W75" i="15" s="1"/>
  <c r="BM75" i="15"/>
  <c r="BN75" i="15" s="1"/>
  <c r="BX75" i="15" s="1"/>
  <c r="BT75" i="15" s="1"/>
  <c r="BO75" i="15" s="1"/>
  <c r="BY75" i="15" s="1"/>
  <c r="BU75" i="15" s="1"/>
  <c r="BP75" i="15" l="1"/>
  <c r="BD75" i="15"/>
  <c r="BJ75" i="15"/>
  <c r="BH75" i="15"/>
  <c r="BC75" i="15"/>
  <c r="BE75" i="15"/>
  <c r="BK75" i="15"/>
  <c r="BG75" i="15"/>
  <c r="BF75" i="15"/>
  <c r="BI75" i="15"/>
  <c r="AL74" i="15"/>
  <c r="AI74" i="15"/>
  <c r="AE74" i="15"/>
  <c r="AJ74" i="15"/>
  <c r="AO74" i="15"/>
  <c r="AF74" i="15"/>
  <c r="AH74" i="15"/>
  <c r="AN74" i="15"/>
  <c r="AD74" i="15"/>
  <c r="AK74" i="15"/>
  <c r="AG74" i="15"/>
  <c r="BB75" i="15" l="1"/>
  <c r="L75" i="15" s="1"/>
  <c r="U70" i="7" s="1"/>
  <c r="AC74" i="15"/>
  <c r="AA74" i="15" s="1"/>
  <c r="BV75" i="15"/>
  <c r="BW75" i="15"/>
  <c r="BS75" i="15" s="1"/>
  <c r="BR75" i="15" s="1"/>
  <c r="K70" i="7" s="1"/>
  <c r="N68" i="9" l="1"/>
  <c r="M70" i="7"/>
  <c r="N70" i="7" s="1"/>
  <c r="P68" i="9" l="1"/>
  <c r="F121" i="13" s="1"/>
  <c r="O68" i="9"/>
  <c r="E121" i="13" s="1"/>
  <c r="J121" i="13" s="1"/>
  <c r="N75" i="15"/>
  <c r="AZ70" i="7"/>
  <c r="BA70" i="7" s="1"/>
  <c r="AR70" i="7"/>
  <c r="AS70" i="7" s="1"/>
  <c r="AJ70" i="7"/>
  <c r="AK70" i="7" s="1"/>
  <c r="AB70" i="7"/>
  <c r="AC70" i="7" s="1"/>
  <c r="L70" i="7"/>
  <c r="T70" i="7" s="1"/>
  <c r="V70" i="7" s="1"/>
  <c r="H69" i="7" l="1"/>
  <c r="E69" i="7" s="1"/>
  <c r="L121" i="13" s="1"/>
  <c r="N121" i="13" s="1"/>
  <c r="O121" i="13" s="1"/>
  <c r="Q75" i="15"/>
  <c r="O75" i="15"/>
  <c r="W71" i="7"/>
  <c r="F70" i="7"/>
  <c r="S71" i="7"/>
  <c r="Z71" i="7"/>
  <c r="P71" i="7" s="1"/>
  <c r="Y71" i="7"/>
  <c r="AD71" i="7" s="1"/>
  <c r="G70" i="7"/>
  <c r="AH71" i="7"/>
  <c r="AG71" i="7"/>
  <c r="AL71" i="7" s="1"/>
  <c r="AO71" i="7"/>
  <c r="AT71" i="7" s="1"/>
  <c r="AP71" i="7"/>
  <c r="I70" i="7"/>
  <c r="AW71" i="7"/>
  <c r="BB71" i="7" s="1"/>
  <c r="AX71" i="7"/>
  <c r="R75" i="15"/>
  <c r="L69" i="9"/>
  <c r="AQ71" i="7" l="1"/>
  <c r="AU71" i="7" s="1"/>
  <c r="AI71" i="7"/>
  <c r="AM71" i="7" s="1"/>
  <c r="AA71" i="7"/>
  <c r="AE71" i="7" s="1"/>
  <c r="Q71" i="7" s="1"/>
  <c r="I76" i="15" s="1"/>
  <c r="K76" i="15" s="1"/>
  <c r="W76" i="15" s="1"/>
  <c r="BJ76" i="15" s="1"/>
  <c r="AY71" i="7"/>
  <c r="BC71" i="7" s="1"/>
  <c r="AW75" i="15"/>
  <c r="AX75" i="15"/>
  <c r="AY75" i="15"/>
  <c r="AV75" i="15"/>
  <c r="AU75" i="15"/>
  <c r="AS75" i="15"/>
  <c r="AR75" i="15"/>
  <c r="AZ75" i="15"/>
  <c r="AT75" i="15"/>
  <c r="F76" i="15"/>
  <c r="G76" i="15" s="1"/>
  <c r="M70" i="9"/>
  <c r="D123" i="13"/>
  <c r="BC76" i="15" l="1"/>
  <c r="BE76" i="15"/>
  <c r="BH76" i="15"/>
  <c r="BF76" i="15"/>
  <c r="BD76" i="15"/>
  <c r="BI76" i="15"/>
  <c r="BG76" i="15"/>
  <c r="BK76" i="15"/>
  <c r="BM76" i="15"/>
  <c r="BN76" i="15" s="1"/>
  <c r="BX76" i="15" s="1"/>
  <c r="BT76" i="15" s="1"/>
  <c r="BO76" i="15" s="1"/>
  <c r="BY76" i="15" s="1"/>
  <c r="BU76" i="15" s="1"/>
  <c r="AQ75" i="15"/>
  <c r="S75" i="15" s="1"/>
  <c r="U75" i="15" s="1"/>
  <c r="V75" i="15" s="1"/>
  <c r="BB76" i="15" l="1"/>
  <c r="L76" i="15" s="1"/>
  <c r="U71" i="7" s="1"/>
  <c r="AL75" i="15"/>
  <c r="AG75" i="15"/>
  <c r="AJ75" i="15"/>
  <c r="AF75" i="15"/>
  <c r="AH75" i="15"/>
  <c r="AN75" i="15"/>
  <c r="AI75" i="15"/>
  <c r="AE75" i="15"/>
  <c r="AD75" i="15"/>
  <c r="AK75" i="15"/>
  <c r="AO75" i="15"/>
  <c r="BP76" i="15"/>
  <c r="BV76" i="15" l="1"/>
  <c r="BW76" i="15"/>
  <c r="BS76" i="15" s="1"/>
  <c r="AC75" i="15"/>
  <c r="AA75" i="15" s="1"/>
  <c r="N69" i="9" l="1"/>
  <c r="BR76" i="15"/>
  <c r="K71" i="7" s="1"/>
  <c r="M71" i="7" s="1"/>
  <c r="N71" i="7" s="1"/>
  <c r="P69" i="9" l="1"/>
  <c r="H70" i="7" s="1"/>
  <c r="E70" i="7" s="1"/>
  <c r="L122" i="13" s="1"/>
  <c r="N122" i="13" s="1"/>
  <c r="O122" i="13" s="1"/>
  <c r="O69" i="9"/>
  <c r="E122" i="13" s="1"/>
  <c r="J122" i="13" s="1"/>
  <c r="N76" i="15"/>
  <c r="AZ71" i="7"/>
  <c r="BA71" i="7" s="1"/>
  <c r="AR71" i="7"/>
  <c r="AS71" i="7" s="1"/>
  <c r="AB71" i="7"/>
  <c r="AC71" i="7" s="1"/>
  <c r="AJ71" i="7"/>
  <c r="AK71" i="7" s="1"/>
  <c r="L71" i="7"/>
  <c r="T71" i="7" s="1"/>
  <c r="V71" i="7" s="1"/>
  <c r="F122" i="13"/>
  <c r="Q76" i="15" l="1"/>
  <c r="O76" i="15"/>
  <c r="S72" i="7"/>
  <c r="F71" i="7"/>
  <c r="W72" i="7"/>
  <c r="AH72" i="7"/>
  <c r="AG72" i="7"/>
  <c r="AL72" i="7" s="1"/>
  <c r="Z72" i="7"/>
  <c r="P72" i="7" s="1"/>
  <c r="Y72" i="7"/>
  <c r="AD72" i="7" s="1"/>
  <c r="G71" i="7"/>
  <c r="AO72" i="7"/>
  <c r="AT72" i="7" s="1"/>
  <c r="AP72" i="7"/>
  <c r="I71" i="7"/>
  <c r="AX72" i="7"/>
  <c r="AW72" i="7"/>
  <c r="BB72" i="7" s="1"/>
  <c r="R76" i="15"/>
  <c r="L70" i="9"/>
  <c r="AA72" i="7" l="1"/>
  <c r="AE72" i="7" s="1"/>
  <c r="AI72" i="7"/>
  <c r="AM72" i="7" s="1"/>
  <c r="Q72" i="7" s="1"/>
  <c r="I77" i="15" s="1"/>
  <c r="K77" i="15" s="1"/>
  <c r="W77" i="15" s="1"/>
  <c r="BH77" i="15" s="1"/>
  <c r="M71" i="9"/>
  <c r="D124" i="13"/>
  <c r="F77" i="15"/>
  <c r="G77" i="15" s="1"/>
  <c r="AR76" i="15"/>
  <c r="AY76" i="15"/>
  <c r="AS76" i="15"/>
  <c r="AX76" i="15"/>
  <c r="AV76" i="15"/>
  <c r="AT76" i="15"/>
  <c r="AZ76" i="15"/>
  <c r="AU76" i="15"/>
  <c r="AW76" i="15"/>
  <c r="AY72" i="7"/>
  <c r="AQ72" i="7"/>
  <c r="BK77" i="15" l="1"/>
  <c r="BF77" i="15"/>
  <c r="BG77" i="15"/>
  <c r="BD77" i="15"/>
  <c r="BC77" i="15"/>
  <c r="BE77" i="15"/>
  <c r="BI77" i="15"/>
  <c r="BJ77" i="15"/>
  <c r="AU72" i="7"/>
  <c r="AQ76" i="15"/>
  <c r="S76" i="15" s="1"/>
  <c r="U76" i="15" s="1"/>
  <c r="V76" i="15" s="1"/>
  <c r="BM77" i="15"/>
  <c r="BN77" i="15" s="1"/>
  <c r="BX77" i="15" s="1"/>
  <c r="BT77" i="15" s="1"/>
  <c r="BO77" i="15" s="1"/>
  <c r="BY77" i="15" s="1"/>
  <c r="BU77" i="15" s="1"/>
  <c r="BC72" i="7"/>
  <c r="BB77" i="15" l="1"/>
  <c r="L77" i="15" s="1"/>
  <c r="U72" i="7" s="1"/>
  <c r="BP77" i="15"/>
  <c r="AI76" i="15"/>
  <c r="AL76" i="15"/>
  <c r="AJ76" i="15"/>
  <c r="AE76" i="15"/>
  <c r="AK76" i="15"/>
  <c r="AF76" i="15"/>
  <c r="AD76" i="15"/>
  <c r="AG76" i="15"/>
  <c r="AO76" i="15"/>
  <c r="AH76" i="15"/>
  <c r="AN76" i="15"/>
  <c r="AC76" i="15" l="1"/>
  <c r="AA76" i="15" s="1"/>
  <c r="BV77" i="15"/>
  <c r="BW77" i="15"/>
  <c r="BS77" i="15" s="1"/>
  <c r="BR77" i="15" l="1"/>
  <c r="K72" i="7" s="1"/>
  <c r="M72" i="7" s="1"/>
  <c r="N72" i="7" s="1"/>
  <c r="N70" i="9"/>
  <c r="O70" i="9" l="1"/>
  <c r="E123" i="13" s="1"/>
  <c r="J123" i="13" s="1"/>
  <c r="P70" i="9"/>
  <c r="F123" i="13" s="1"/>
  <c r="AJ72" i="7"/>
  <c r="AK72" i="7" s="1"/>
  <c r="AB72" i="7"/>
  <c r="AC72" i="7" s="1"/>
  <c r="N77" i="15"/>
  <c r="AR72" i="7"/>
  <c r="AS72" i="7" s="1"/>
  <c r="AZ72" i="7"/>
  <c r="BA72" i="7" s="1"/>
  <c r="L72" i="7"/>
  <c r="T72" i="7" s="1"/>
  <c r="V72" i="7" s="1"/>
  <c r="H71" i="7" l="1"/>
  <c r="E71" i="7" s="1"/>
  <c r="L123" i="13" s="1"/>
  <c r="H59" i="13" s="1"/>
  <c r="Q77" i="15"/>
  <c r="R77" i="15" s="1"/>
  <c r="O77" i="15"/>
  <c r="W73" i="7"/>
  <c r="F72" i="7"/>
  <c r="S73" i="7"/>
  <c r="AW73" i="7"/>
  <c r="BB73" i="7" s="1"/>
  <c r="AX73" i="7"/>
  <c r="AP73" i="7"/>
  <c r="I72" i="7"/>
  <c r="AO73" i="7"/>
  <c r="AT73" i="7" s="1"/>
  <c r="L71" i="9"/>
  <c r="Y73" i="7"/>
  <c r="AD73" i="7" s="1"/>
  <c r="Z73" i="7"/>
  <c r="P73" i="7" s="1"/>
  <c r="G72" i="7"/>
  <c r="AH73" i="7"/>
  <c r="AG73" i="7"/>
  <c r="AL73" i="7" s="1"/>
  <c r="N123" i="13" l="1"/>
  <c r="AI73" i="7"/>
  <c r="AM73" i="7" s="1"/>
  <c r="F78" i="15"/>
  <c r="G78" i="15" s="1"/>
  <c r="M72" i="9"/>
  <c r="D125" i="13"/>
  <c r="AT77" i="15"/>
  <c r="AY77" i="15"/>
  <c r="AV77" i="15"/>
  <c r="AX77" i="15"/>
  <c r="AR77" i="15"/>
  <c r="AU77" i="15"/>
  <c r="AW77" i="15"/>
  <c r="AS77" i="15"/>
  <c r="AZ77" i="15"/>
  <c r="AY73" i="7"/>
  <c r="AA73" i="7"/>
  <c r="AQ73" i="7"/>
  <c r="I59" i="13" l="1"/>
  <c r="O123" i="13"/>
  <c r="AU73" i="7"/>
  <c r="AE73" i="7"/>
  <c r="Q73" i="7" s="1"/>
  <c r="I78" i="15" s="1"/>
  <c r="K78" i="15" s="1"/>
  <c r="W78" i="15" s="1"/>
  <c r="BC73" i="7"/>
  <c r="BM78" i="15"/>
  <c r="BN78" i="15" s="1"/>
  <c r="BX78" i="15" s="1"/>
  <c r="BT78" i="15" s="1"/>
  <c r="BO78" i="15" s="1"/>
  <c r="BY78" i="15" s="1"/>
  <c r="BU78" i="15" s="1"/>
  <c r="AQ77" i="15"/>
  <c r="S77" i="15" s="1"/>
  <c r="U77" i="15" s="1"/>
  <c r="V77" i="15" s="1"/>
  <c r="AD77" i="15" l="1"/>
  <c r="AG77" i="15"/>
  <c r="AK77" i="15"/>
  <c r="AE77" i="15"/>
  <c r="AN77" i="15"/>
  <c r="AL77" i="15"/>
  <c r="AO77" i="15"/>
  <c r="AH77" i="15"/>
  <c r="AI77" i="15"/>
  <c r="AJ77" i="15"/>
  <c r="AF77" i="15"/>
  <c r="BP78" i="15"/>
  <c r="BE78" i="15"/>
  <c r="BK78" i="15"/>
  <c r="BF78" i="15"/>
  <c r="BG78" i="15"/>
  <c r="BH78" i="15"/>
  <c r="BD78" i="15"/>
  <c r="BC78" i="15"/>
  <c r="BI78" i="15"/>
  <c r="BJ78" i="15"/>
  <c r="BV78" i="15" l="1"/>
  <c r="BW78" i="15"/>
  <c r="BS78" i="15" s="1"/>
  <c r="BB78" i="15"/>
  <c r="L78" i="15" s="1"/>
  <c r="U73" i="7" s="1"/>
  <c r="AC77" i="15"/>
  <c r="AA77" i="15" s="1"/>
  <c r="N71" i="9" l="1"/>
  <c r="BR78" i="15"/>
  <c r="K73" i="7" s="1"/>
  <c r="M73" i="7" s="1"/>
  <c r="O71" i="9" l="1"/>
  <c r="E124" i="13" s="1"/>
  <c r="J124" i="13" s="1"/>
  <c r="P71" i="9"/>
  <c r="F124" i="13" s="1"/>
  <c r="AJ73" i="7"/>
  <c r="AK73" i="7" s="1"/>
  <c r="AB73" i="7"/>
  <c r="AC73" i="7" s="1"/>
  <c r="N73" i="7"/>
  <c r="H72" i="7" l="1"/>
  <c r="E72" i="7" s="1"/>
  <c r="L124" i="13" s="1"/>
  <c r="N124" i="13" s="1"/>
  <c r="O124" i="13" s="1"/>
  <c r="N78" i="15"/>
  <c r="AR73" i="7"/>
  <c r="AS73" i="7" s="1"/>
  <c r="AZ73" i="7"/>
  <c r="BA73" i="7" s="1"/>
  <c r="G73" i="7"/>
  <c r="Y74" i="7"/>
  <c r="AD74" i="7" s="1"/>
  <c r="Z74" i="7"/>
  <c r="AG74" i="7"/>
  <c r="AL74" i="7" s="1"/>
  <c r="AH74" i="7"/>
  <c r="L73" i="7"/>
  <c r="T73" i="7" s="1"/>
  <c r="V73" i="7" s="1"/>
  <c r="Q78" i="15" l="1"/>
  <c r="R78" i="15" s="1"/>
  <c r="O78" i="15"/>
  <c r="AA74" i="7"/>
  <c r="AE74" i="7" s="1"/>
  <c r="P74" i="7"/>
  <c r="W74" i="7"/>
  <c r="S74" i="7"/>
  <c r="F73" i="7"/>
  <c r="AI74" i="7"/>
  <c r="AX74" i="7"/>
  <c r="AW74" i="7"/>
  <c r="BB74" i="7" s="1"/>
  <c r="AO74" i="7"/>
  <c r="AT74" i="7" s="1"/>
  <c r="I73" i="7"/>
  <c r="AP74" i="7"/>
  <c r="L72" i="9"/>
  <c r="AY74" i="7" l="1"/>
  <c r="BC74" i="7" s="1"/>
  <c r="AU78" i="15"/>
  <c r="AX78" i="15"/>
  <c r="AY78" i="15"/>
  <c r="AT78" i="15"/>
  <c r="AV78" i="15"/>
  <c r="AW78" i="15"/>
  <c r="AR78" i="15"/>
  <c r="AZ78" i="15"/>
  <c r="AS78" i="15"/>
  <c r="AM74" i="7"/>
  <c r="Q74" i="7" s="1"/>
  <c r="I79" i="15" s="1"/>
  <c r="K79" i="15" s="1"/>
  <c r="W79" i="15" s="1"/>
  <c r="AQ74" i="7"/>
  <c r="D126" i="13"/>
  <c r="F79" i="15"/>
  <c r="G79" i="15" s="1"/>
  <c r="M73" i="9"/>
  <c r="AQ78" i="15" l="1"/>
  <c r="S78" i="15" s="1"/>
  <c r="U78" i="15" s="1"/>
  <c r="V78" i="15" s="1"/>
  <c r="AJ78" i="15" s="1"/>
  <c r="AU74" i="7"/>
  <c r="BH79" i="15"/>
  <c r="BC79" i="15"/>
  <c r="BE79" i="15"/>
  <c r="BD79" i="15"/>
  <c r="BF79" i="15"/>
  <c r="BG79" i="15"/>
  <c r="BI79" i="15"/>
  <c r="BJ79" i="15"/>
  <c r="BK79" i="15"/>
  <c r="BM79" i="15"/>
  <c r="BN79" i="15" s="1"/>
  <c r="BX79" i="15" s="1"/>
  <c r="BT79" i="15" s="1"/>
  <c r="BO79" i="15" s="1"/>
  <c r="BY79" i="15" s="1"/>
  <c r="BU79" i="15" s="1"/>
  <c r="AH78" i="15" l="1"/>
  <c r="AK78" i="15"/>
  <c r="AI78" i="15"/>
  <c r="AN78" i="15"/>
  <c r="AE78" i="15"/>
  <c r="AG78" i="15"/>
  <c r="AO78" i="15"/>
  <c r="AF78" i="15"/>
  <c r="AD78" i="15"/>
  <c r="AL78" i="15"/>
  <c r="BB79" i="15"/>
  <c r="L79" i="15" s="1"/>
  <c r="U74" i="7" s="1"/>
  <c r="BP79" i="15"/>
  <c r="AC78" i="15" l="1"/>
  <c r="AA78" i="15" s="1"/>
  <c r="BW79" i="15"/>
  <c r="BS79" i="15" s="1"/>
  <c r="BV79" i="15"/>
  <c r="N72" i="9" l="1"/>
  <c r="BR79" i="15"/>
  <c r="K74" i="7" s="1"/>
  <c r="M74" i="7" s="1"/>
  <c r="N74" i="7" s="1"/>
  <c r="O72" i="9" l="1"/>
  <c r="E125" i="13" s="1"/>
  <c r="J125" i="13" s="1"/>
  <c r="P72" i="9"/>
  <c r="F125" i="13" s="1"/>
  <c r="L74" i="7"/>
  <c r="T74" i="7" s="1"/>
  <c r="V74" i="7" s="1"/>
  <c r="AB74" i="7"/>
  <c r="AC74" i="7" s="1"/>
  <c r="AJ74" i="7"/>
  <c r="AK74" i="7" s="1"/>
  <c r="N79" i="15"/>
  <c r="AZ74" i="7"/>
  <c r="BA74" i="7" s="1"/>
  <c r="AR74" i="7"/>
  <c r="AS74" i="7" s="1"/>
  <c r="H73" i="7" l="1"/>
  <c r="E73" i="7" s="1"/>
  <c r="L125" i="13" s="1"/>
  <c r="N125" i="13" s="1"/>
  <c r="O125" i="13" s="1"/>
  <c r="Q79" i="15"/>
  <c r="O79" i="15"/>
  <c r="I74" i="7"/>
  <c r="AO75" i="7"/>
  <c r="AT75" i="7" s="1"/>
  <c r="AP75" i="7"/>
  <c r="AX75" i="7"/>
  <c r="AW75" i="7"/>
  <c r="BB75" i="7" s="1"/>
  <c r="R79" i="15"/>
  <c r="L73" i="9"/>
  <c r="AH75" i="7"/>
  <c r="AG75" i="7"/>
  <c r="AL75" i="7" s="1"/>
  <c r="Y75" i="7"/>
  <c r="AD75" i="7" s="1"/>
  <c r="Z75" i="7"/>
  <c r="P75" i="7" s="1"/>
  <c r="G74" i="7"/>
  <c r="W75" i="7"/>
  <c r="F74" i="7"/>
  <c r="S75" i="7"/>
  <c r="AY75" i="7" l="1"/>
  <c r="BC75" i="7" s="1"/>
  <c r="AA75" i="7"/>
  <c r="AE75" i="7" s="1"/>
  <c r="AU79" i="15"/>
  <c r="AS79" i="15"/>
  <c r="AT79" i="15"/>
  <c r="AW79" i="15"/>
  <c r="AR79" i="15"/>
  <c r="AX79" i="15"/>
  <c r="AY79" i="15"/>
  <c r="AZ79" i="15"/>
  <c r="AV79" i="15"/>
  <c r="F80" i="15"/>
  <c r="G80" i="15" s="1"/>
  <c r="M74" i="9"/>
  <c r="D127" i="13"/>
  <c r="AI75" i="7"/>
  <c r="AQ75" i="7"/>
  <c r="AQ79" i="15" l="1"/>
  <c r="S79" i="15" s="1"/>
  <c r="U79" i="15" s="1"/>
  <c r="V79" i="15" s="1"/>
  <c r="AU75" i="7"/>
  <c r="BM80" i="15"/>
  <c r="BN80" i="15" s="1"/>
  <c r="BX80" i="15" s="1"/>
  <c r="BT80" i="15" s="1"/>
  <c r="BO80" i="15" s="1"/>
  <c r="BY80" i="15" s="1"/>
  <c r="BU80" i="15" s="1"/>
  <c r="AM75" i="7"/>
  <c r="Q75" i="7" s="1"/>
  <c r="I80" i="15" s="1"/>
  <c r="K80" i="15" s="1"/>
  <c r="W80" i="15" s="1"/>
  <c r="BP80" i="15" l="1"/>
  <c r="BD80" i="15"/>
  <c r="BE80" i="15"/>
  <c r="BG80" i="15"/>
  <c r="BJ80" i="15"/>
  <c r="BH80" i="15"/>
  <c r="BK80" i="15"/>
  <c r="BF80" i="15"/>
  <c r="BC80" i="15"/>
  <c r="BI80" i="15"/>
  <c r="AE79" i="15"/>
  <c r="AO79" i="15"/>
  <c r="AN79" i="15"/>
  <c r="AF79" i="15"/>
  <c r="AD79" i="15"/>
  <c r="AJ79" i="15"/>
  <c r="AH79" i="15"/>
  <c r="AI79" i="15"/>
  <c r="AG79" i="15"/>
  <c r="AK79" i="15"/>
  <c r="AL79" i="15"/>
  <c r="AC79" i="15" l="1"/>
  <c r="AA79" i="15" s="1"/>
  <c r="BB80" i="15"/>
  <c r="L80" i="15" s="1"/>
  <c r="U75" i="7" s="1"/>
  <c r="BV80" i="15"/>
  <c r="BW80" i="15"/>
  <c r="BS80" i="15" s="1"/>
  <c r="BR80" i="15" s="1"/>
  <c r="K75" i="7" s="1"/>
  <c r="N73" i="9" l="1"/>
  <c r="M75" i="7"/>
  <c r="N75" i="7" s="1"/>
  <c r="O73" i="9" l="1"/>
  <c r="E126" i="13" s="1"/>
  <c r="J126" i="13" s="1"/>
  <c r="P73" i="9"/>
  <c r="F126" i="13" s="1"/>
  <c r="AB75" i="7"/>
  <c r="AC75" i="7" s="1"/>
  <c r="AJ75" i="7"/>
  <c r="AK75" i="7" s="1"/>
  <c r="N80" i="15"/>
  <c r="AZ75" i="7"/>
  <c r="BA75" i="7" s="1"/>
  <c r="AR75" i="7"/>
  <c r="AS75" i="7" s="1"/>
  <c r="L75" i="7"/>
  <c r="T75" i="7" s="1"/>
  <c r="V75" i="7" s="1"/>
  <c r="H74" i="7" l="1"/>
  <c r="E74" i="7" s="1"/>
  <c r="L126" i="13" s="1"/>
  <c r="N126" i="13" s="1"/>
  <c r="O126" i="13" s="1"/>
  <c r="Q80" i="15"/>
  <c r="L74" i="9" s="1"/>
  <c r="O80" i="15"/>
  <c r="W76" i="7"/>
  <c r="S76" i="7"/>
  <c r="F75" i="7"/>
  <c r="I75" i="7"/>
  <c r="AP76" i="7"/>
  <c r="AO76" i="7"/>
  <c r="AT76" i="7" s="1"/>
  <c r="AW76" i="7"/>
  <c r="BB76" i="7" s="1"/>
  <c r="AX76" i="7"/>
  <c r="AG76" i="7"/>
  <c r="AL76" i="7" s="1"/>
  <c r="AH76" i="7"/>
  <c r="Z76" i="7"/>
  <c r="P76" i="7" s="1"/>
  <c r="G75" i="7"/>
  <c r="Y76" i="7"/>
  <c r="AD76" i="7" s="1"/>
  <c r="R80" i="15" l="1"/>
  <c r="AT80" i="15" s="1"/>
  <c r="AQ76" i="7"/>
  <c r="AU76" i="7" s="1"/>
  <c r="AI76" i="7"/>
  <c r="AM76" i="7" s="1"/>
  <c r="AY76" i="7"/>
  <c r="BC76" i="7" s="1"/>
  <c r="AA76" i="7"/>
  <c r="D128" i="13"/>
  <c r="F81" i="15"/>
  <c r="G81" i="15" s="1"/>
  <c r="M75" i="9"/>
  <c r="AZ80" i="15" l="1"/>
  <c r="AU80" i="15"/>
  <c r="AR80" i="15"/>
  <c r="AW80" i="15"/>
  <c r="AS80" i="15"/>
  <c r="AY80" i="15"/>
  <c r="AV80" i="15"/>
  <c r="AX80" i="15"/>
  <c r="BM81" i="15"/>
  <c r="BN81" i="15" s="1"/>
  <c r="BX81" i="15" s="1"/>
  <c r="BT81" i="15" s="1"/>
  <c r="BO81" i="15" s="1"/>
  <c r="BY81" i="15" s="1"/>
  <c r="BU81" i="15" s="1"/>
  <c r="AE76" i="7"/>
  <c r="Q76" i="7" s="1"/>
  <c r="I81" i="15" s="1"/>
  <c r="K81" i="15" s="1"/>
  <c r="W81" i="15" s="1"/>
  <c r="AQ80" i="15" l="1"/>
  <c r="S80" i="15" s="1"/>
  <c r="U80" i="15" s="1"/>
  <c r="V80" i="15" s="1"/>
  <c r="AI80" i="15" s="1"/>
  <c r="BJ81" i="15"/>
  <c r="BK81" i="15"/>
  <c r="BI81" i="15"/>
  <c r="BD81" i="15"/>
  <c r="BC81" i="15"/>
  <c r="BH81" i="15"/>
  <c r="BE81" i="15"/>
  <c r="BG81" i="15"/>
  <c r="BF81" i="15"/>
  <c r="BP81" i="15"/>
  <c r="AK80" i="15" l="1"/>
  <c r="AE80" i="15"/>
  <c r="AD80" i="15"/>
  <c r="AO80" i="15"/>
  <c r="AJ80" i="15"/>
  <c r="AG80" i="15"/>
  <c r="AN80" i="15"/>
  <c r="AF80" i="15"/>
  <c r="AL80" i="15"/>
  <c r="AH80" i="15"/>
  <c r="BB81" i="15"/>
  <c r="L81" i="15" s="1"/>
  <c r="U76" i="7" s="1"/>
  <c r="BV81" i="15"/>
  <c r="BW81" i="15"/>
  <c r="BS81" i="15" s="1"/>
  <c r="AC80" i="15" l="1"/>
  <c r="BR81" i="15"/>
  <c r="K76" i="7" s="1"/>
  <c r="M76" i="7" s="1"/>
  <c r="P74" i="9"/>
  <c r="AA80" i="15" l="1"/>
  <c r="N74" i="9" s="1"/>
  <c r="O74" i="9" s="1"/>
  <c r="E127" i="13" s="1"/>
  <c r="J127" i="13" s="1"/>
  <c r="N76" i="7"/>
  <c r="L76" i="7" s="1"/>
  <c r="T76" i="7" s="1"/>
  <c r="V76" i="7" s="1"/>
  <c r="AJ76" i="7"/>
  <c r="AK76" i="7" s="1"/>
  <c r="AB76" i="7"/>
  <c r="AC76" i="7" s="1"/>
  <c r="F127" i="13"/>
  <c r="H75" i="7"/>
  <c r="E75" i="7" s="1"/>
  <c r="L127" i="13" s="1"/>
  <c r="N127" i="13" s="1"/>
  <c r="O127" i="13" s="1"/>
  <c r="F76" i="7" l="1"/>
  <c r="S77" i="7"/>
  <c r="W77" i="7"/>
  <c r="G76" i="7"/>
  <c r="Y77" i="7"/>
  <c r="AD77" i="7" s="1"/>
  <c r="Z77" i="7"/>
  <c r="P77" i="7" s="1"/>
  <c r="AG77" i="7"/>
  <c r="AL77" i="7" s="1"/>
  <c r="AH77" i="7"/>
  <c r="N81" i="15"/>
  <c r="AR76" i="7"/>
  <c r="AS76" i="7" s="1"/>
  <c r="AZ76" i="7"/>
  <c r="BA76" i="7" s="1"/>
  <c r="AA77" i="7" l="1"/>
  <c r="AE77" i="7" s="1"/>
  <c r="Q81" i="15"/>
  <c r="O81" i="15"/>
  <c r="AI77" i="7"/>
  <c r="AM77" i="7" s="1"/>
  <c r="Q77" i="7" s="1"/>
  <c r="I82" i="15" s="1"/>
  <c r="K82" i="15" s="1"/>
  <c r="W82" i="15" s="1"/>
  <c r="BK82" i="15" s="1"/>
  <c r="AW77" i="7"/>
  <c r="BB77" i="7" s="1"/>
  <c r="AX77" i="7"/>
  <c r="F82" i="15"/>
  <c r="G82" i="15" s="1"/>
  <c r="M76" i="9"/>
  <c r="D129" i="13"/>
  <c r="I76" i="7"/>
  <c r="AO77" i="7"/>
  <c r="AT77" i="7" s="1"/>
  <c r="AP77" i="7"/>
  <c r="R81" i="15"/>
  <c r="L75" i="9"/>
  <c r="BG82" i="15" l="1"/>
  <c r="BF82" i="15"/>
  <c r="BE82" i="15"/>
  <c r="BC82" i="15"/>
  <c r="BH82" i="15"/>
  <c r="BD82" i="15"/>
  <c r="BI82" i="15"/>
  <c r="BJ82" i="15"/>
  <c r="AT81" i="15"/>
  <c r="AS81" i="15"/>
  <c r="AU81" i="15"/>
  <c r="AV81" i="15"/>
  <c r="AX81" i="15"/>
  <c r="AR81" i="15"/>
  <c r="AW81" i="15"/>
  <c r="AY81" i="15"/>
  <c r="AZ81" i="15"/>
  <c r="BM82" i="15"/>
  <c r="BN82" i="15" s="1"/>
  <c r="BX82" i="15" s="1"/>
  <c r="BT82" i="15" s="1"/>
  <c r="BO82" i="15" s="1"/>
  <c r="BY82" i="15" s="1"/>
  <c r="BU82" i="15" s="1"/>
  <c r="AQ77" i="7"/>
  <c r="AY77" i="7"/>
  <c r="BB82" i="15" l="1"/>
  <c r="L82" i="15" s="1"/>
  <c r="U77" i="7" s="1"/>
  <c r="AQ81" i="15"/>
  <c r="S81" i="15" s="1"/>
  <c r="U81" i="15" s="1"/>
  <c r="V81" i="15" s="1"/>
  <c r="AD81" i="15" s="1"/>
  <c r="BC77" i="7"/>
  <c r="BP82" i="15"/>
  <c r="AU77" i="7"/>
  <c r="AG81" i="15" l="1"/>
  <c r="AO81" i="15"/>
  <c r="AF81" i="15"/>
  <c r="AH81" i="15"/>
  <c r="AJ81" i="15"/>
  <c r="AN81" i="15"/>
  <c r="AE81" i="15"/>
  <c r="AI81" i="15"/>
  <c r="AK81" i="15"/>
  <c r="AL81" i="15"/>
  <c r="BV82" i="15"/>
  <c r="BW82" i="15"/>
  <c r="BS82" i="15" s="1"/>
  <c r="P75" i="9"/>
  <c r="BR82" i="15" l="1"/>
  <c r="K77" i="7" s="1"/>
  <c r="M77" i="7" s="1"/>
  <c r="N77" i="7" s="1"/>
  <c r="AC81" i="15"/>
  <c r="AA81" i="15" s="1"/>
  <c r="F128" i="13"/>
  <c r="H76" i="7"/>
  <c r="E76" i="7" s="1"/>
  <c r="L128" i="13" s="1"/>
  <c r="N128" i="13" s="1"/>
  <c r="O128" i="13" s="1"/>
  <c r="N75" i="9" l="1"/>
  <c r="O75" i="9" s="1"/>
  <c r="E128" i="13" s="1"/>
  <c r="J128" i="13" s="1"/>
  <c r="N82" i="15"/>
  <c r="AZ77" i="7"/>
  <c r="BA77" i="7" s="1"/>
  <c r="AR77" i="7"/>
  <c r="AS77" i="7" s="1"/>
  <c r="AJ77" i="7"/>
  <c r="AK77" i="7" s="1"/>
  <c r="AB77" i="7"/>
  <c r="AC77" i="7" s="1"/>
  <c r="L77" i="7"/>
  <c r="T77" i="7" s="1"/>
  <c r="V77" i="7" s="1"/>
  <c r="Q82" i="15" l="1"/>
  <c r="O82" i="15"/>
  <c r="S78" i="7"/>
  <c r="F77" i="7"/>
  <c r="W78" i="7"/>
  <c r="Y78" i="7"/>
  <c r="AD78" i="7" s="1"/>
  <c r="Z78" i="7"/>
  <c r="G77" i="7"/>
  <c r="AG78" i="7"/>
  <c r="AL78" i="7" s="1"/>
  <c r="AH78" i="7"/>
  <c r="AO78" i="7"/>
  <c r="AT78" i="7" s="1"/>
  <c r="AP78" i="7"/>
  <c r="I77" i="7"/>
  <c r="AW78" i="7"/>
  <c r="BB78" i="7" s="1"/>
  <c r="AX78" i="7"/>
  <c r="R82" i="15"/>
  <c r="L76" i="9"/>
  <c r="P78" i="7" l="1"/>
  <c r="F83" i="15" s="1"/>
  <c r="G83" i="15" s="1"/>
  <c r="AQ78" i="7"/>
  <c r="AU78" i="7" s="1"/>
  <c r="AY78" i="7"/>
  <c r="BC78" i="7" s="1"/>
  <c r="AI78" i="7"/>
  <c r="AA78" i="7"/>
  <c r="AU82" i="15"/>
  <c r="AS82" i="15"/>
  <c r="AV82" i="15"/>
  <c r="AW82" i="15"/>
  <c r="AY82" i="15"/>
  <c r="AX82" i="15"/>
  <c r="AR82" i="15"/>
  <c r="AZ82" i="15"/>
  <c r="AT82" i="15"/>
  <c r="D130" i="13" l="1"/>
  <c r="M77" i="9"/>
  <c r="AE78" i="7"/>
  <c r="Q78" i="7" s="1"/>
  <c r="I83" i="15" s="1"/>
  <c r="K83" i="15" s="1"/>
  <c r="W83" i="15" s="1"/>
  <c r="AQ82" i="15"/>
  <c r="S82" i="15" s="1"/>
  <c r="U82" i="15" s="1"/>
  <c r="V82" i="15" s="1"/>
  <c r="AM78" i="7"/>
  <c r="BM83" i="15"/>
  <c r="BN83" i="15" s="1"/>
  <c r="BX83" i="15" s="1"/>
  <c r="BT83" i="15" s="1"/>
  <c r="BO83" i="15" s="1"/>
  <c r="BY83" i="15" s="1"/>
  <c r="BU83" i="15" s="1"/>
  <c r="BP83" i="15" l="1"/>
  <c r="AJ82" i="15"/>
  <c r="AF82" i="15"/>
  <c r="AN82" i="15"/>
  <c r="AI82" i="15"/>
  <c r="AE82" i="15"/>
  <c r="AK82" i="15"/>
  <c r="AO82" i="15"/>
  <c r="AD82" i="15"/>
  <c r="AG82" i="15"/>
  <c r="AL82" i="15"/>
  <c r="AH82" i="15"/>
  <c r="BI83" i="15"/>
  <c r="BK83" i="15"/>
  <c r="BF83" i="15"/>
  <c r="BJ83" i="15"/>
  <c r="BC83" i="15"/>
  <c r="BH83" i="15"/>
  <c r="BD83" i="15"/>
  <c r="BE83" i="15"/>
  <c r="BG83" i="15"/>
  <c r="BB83" i="15" l="1"/>
  <c r="L83" i="15" s="1"/>
  <c r="U78" i="7" s="1"/>
  <c r="AC82" i="15"/>
  <c r="AA82" i="15" s="1"/>
  <c r="BW83" i="15"/>
  <c r="BS83" i="15" s="1"/>
  <c r="BV83" i="15"/>
  <c r="N76" i="9" l="1"/>
  <c r="O76" i="9" s="1"/>
  <c r="E129" i="13" s="1"/>
  <c r="J129" i="13" s="1"/>
  <c r="BR83" i="15"/>
  <c r="K78" i="7" s="1"/>
  <c r="M78" i="7" s="1"/>
  <c r="N78" i="7" s="1"/>
  <c r="P76" i="9"/>
  <c r="AB78" i="7" l="1"/>
  <c r="AC78" i="7" s="1"/>
  <c r="AJ78" i="7"/>
  <c r="AK78" i="7" s="1"/>
  <c r="N83" i="15"/>
  <c r="AZ78" i="7"/>
  <c r="BA78" i="7" s="1"/>
  <c r="AR78" i="7"/>
  <c r="AS78" i="7" s="1"/>
  <c r="F129" i="13"/>
  <c r="H77" i="7"/>
  <c r="E77" i="7" s="1"/>
  <c r="L129" i="13" s="1"/>
  <c r="N129" i="13" s="1"/>
  <c r="O129" i="13" s="1"/>
  <c r="L78" i="7"/>
  <c r="T78" i="7" s="1"/>
  <c r="V78" i="7" s="1"/>
  <c r="Q83" i="15" l="1"/>
  <c r="O83" i="15"/>
  <c r="W79" i="7"/>
  <c r="S79" i="7"/>
  <c r="F78" i="7"/>
  <c r="AP79" i="7"/>
  <c r="AO79" i="7"/>
  <c r="AT79" i="7" s="1"/>
  <c r="I78" i="7"/>
  <c r="AX79" i="7"/>
  <c r="AW79" i="7"/>
  <c r="BB79" i="7" s="1"/>
  <c r="R83" i="15"/>
  <c r="L77" i="9"/>
  <c r="AG79" i="7"/>
  <c r="AL79" i="7" s="1"/>
  <c r="AH79" i="7"/>
  <c r="Z79" i="7"/>
  <c r="G78" i="7"/>
  <c r="Y79" i="7"/>
  <c r="AD79" i="7" s="1"/>
  <c r="AQ79" i="7" l="1"/>
  <c r="AU79" i="7" s="1"/>
  <c r="AI79" i="7"/>
  <c r="AM79" i="7" s="1"/>
  <c r="AA79" i="7"/>
  <c r="AE79" i="7" s="1"/>
  <c r="Q79" i="7" s="1"/>
  <c r="I84" i="15" s="1"/>
  <c r="K84" i="15" s="1"/>
  <c r="W84" i="15" s="1"/>
  <c r="BF84" i="15" s="1"/>
  <c r="AY79" i="7"/>
  <c r="BC79" i="7" s="1"/>
  <c r="AY83" i="15"/>
  <c r="AR83" i="15"/>
  <c r="AZ83" i="15"/>
  <c r="AS83" i="15"/>
  <c r="AU83" i="15"/>
  <c r="AT83" i="15"/>
  <c r="AW83" i="15"/>
  <c r="AV83" i="15"/>
  <c r="AX83" i="15"/>
  <c r="P79" i="7"/>
  <c r="BH84" i="15" l="1"/>
  <c r="BD84" i="15"/>
  <c r="BC84" i="15"/>
  <c r="BK84" i="15"/>
  <c r="BE84" i="15"/>
  <c r="BI84" i="15"/>
  <c r="BG84" i="15"/>
  <c r="BJ84" i="15"/>
  <c r="M78" i="9"/>
  <c r="D131" i="13"/>
  <c r="F84" i="15"/>
  <c r="G84" i="15" s="1"/>
  <c r="AQ83" i="15"/>
  <c r="S83" i="15" s="1"/>
  <c r="U83" i="15" s="1"/>
  <c r="V83" i="15" s="1"/>
  <c r="BB84" i="15" l="1"/>
  <c r="L84" i="15" s="1"/>
  <c r="U79" i="7" s="1"/>
  <c r="AN83" i="15"/>
  <c r="AJ83" i="15"/>
  <c r="AG83" i="15"/>
  <c r="AH83" i="15"/>
  <c r="AI83" i="15"/>
  <c r="AE83" i="15"/>
  <c r="AO83" i="15"/>
  <c r="AL83" i="15"/>
  <c r="AF83" i="15"/>
  <c r="AK83" i="15"/>
  <c r="AD83" i="15"/>
  <c r="BM84" i="15"/>
  <c r="BN84" i="15" s="1"/>
  <c r="BX84" i="15" s="1"/>
  <c r="BT84" i="15" s="1"/>
  <c r="BO84" i="15" s="1"/>
  <c r="BY84" i="15" s="1"/>
  <c r="BU84" i="15" s="1"/>
  <c r="BP84" i="15" l="1"/>
  <c r="AC83" i="15"/>
  <c r="AA83" i="15" s="1"/>
  <c r="N77" i="9" l="1"/>
  <c r="O77" i="9" s="1"/>
  <c r="E130" i="13" s="1"/>
  <c r="J130" i="13" s="1"/>
  <c r="P77" i="9"/>
  <c r="BW84" i="15"/>
  <c r="BS84" i="15" s="1"/>
  <c r="BV84" i="15"/>
  <c r="BR84" i="15" l="1"/>
  <c r="K79" i="7" s="1"/>
  <c r="F130" i="13"/>
  <c r="H78" i="7"/>
  <c r="E78" i="7" s="1"/>
  <c r="L130" i="13" s="1"/>
  <c r="N130" i="13" s="1"/>
  <c r="O130" i="13" s="1"/>
  <c r="M79" i="7" l="1"/>
  <c r="N79" i="7" s="1"/>
  <c r="AB79" i="7" l="1"/>
  <c r="AC79" i="7" s="1"/>
  <c r="AJ79" i="7"/>
  <c r="AK79" i="7" s="1"/>
  <c r="N84" i="15"/>
  <c r="AR79" i="7"/>
  <c r="AS79" i="7" s="1"/>
  <c r="AZ79" i="7"/>
  <c r="BA79" i="7" s="1"/>
  <c r="L79" i="7"/>
  <c r="T79" i="7" s="1"/>
  <c r="V79" i="7" s="1"/>
  <c r="Q84" i="15" l="1"/>
  <c r="O84" i="15"/>
  <c r="W80" i="7"/>
  <c r="S80" i="7"/>
  <c r="F79" i="7"/>
  <c r="AW80" i="7"/>
  <c r="BB80" i="7" s="1"/>
  <c r="AX80" i="7"/>
  <c r="AO80" i="7"/>
  <c r="AT80" i="7" s="1"/>
  <c r="AP80" i="7"/>
  <c r="I79" i="7"/>
  <c r="R84" i="15"/>
  <c r="L78" i="9"/>
  <c r="AH80" i="7"/>
  <c r="AG80" i="7"/>
  <c r="AL80" i="7" s="1"/>
  <c r="G79" i="7"/>
  <c r="Y80" i="7"/>
  <c r="AD80" i="7" s="1"/>
  <c r="Z80" i="7"/>
  <c r="P80" i="7" s="1"/>
  <c r="AY80" i="7" l="1"/>
  <c r="BC80" i="7" s="1"/>
  <c r="AI80" i="7"/>
  <c r="AM80" i="7" s="1"/>
  <c r="M79" i="9"/>
  <c r="D132" i="13"/>
  <c r="F85" i="15"/>
  <c r="G85" i="15" s="1"/>
  <c r="AS84" i="15"/>
  <c r="AR84" i="15"/>
  <c r="AT84" i="15"/>
  <c r="AY84" i="15"/>
  <c r="AZ84" i="15"/>
  <c r="AU84" i="15"/>
  <c r="AV84" i="15"/>
  <c r="AX84" i="15"/>
  <c r="AW84" i="15"/>
  <c r="AA80" i="7"/>
  <c r="AQ80" i="7"/>
  <c r="AU80" i="7" l="1"/>
  <c r="AE80" i="7"/>
  <c r="Q80" i="7" s="1"/>
  <c r="I85" i="15" s="1"/>
  <c r="K85" i="15" s="1"/>
  <c r="W85" i="15" s="1"/>
  <c r="AQ84" i="15"/>
  <c r="S84" i="15" s="1"/>
  <c r="U84" i="15" s="1"/>
  <c r="V84" i="15" s="1"/>
  <c r="BM85" i="15"/>
  <c r="BN85" i="15" s="1"/>
  <c r="BX85" i="15" s="1"/>
  <c r="BT85" i="15" s="1"/>
  <c r="BO85" i="15" s="1"/>
  <c r="BY85" i="15" s="1"/>
  <c r="BU85" i="15" s="1"/>
  <c r="BP85" i="15" l="1"/>
  <c r="AO84" i="15"/>
  <c r="AJ84" i="15"/>
  <c r="AI84" i="15"/>
  <c r="AH84" i="15"/>
  <c r="AE84" i="15"/>
  <c r="AL84" i="15"/>
  <c r="AG84" i="15"/>
  <c r="AK84" i="15"/>
  <c r="AN84" i="15"/>
  <c r="AD84" i="15"/>
  <c r="AF84" i="15"/>
  <c r="BI85" i="15"/>
  <c r="BK85" i="15"/>
  <c r="BC85" i="15"/>
  <c r="BH85" i="15"/>
  <c r="BD85" i="15"/>
  <c r="BE85" i="15"/>
  <c r="BF85" i="15"/>
  <c r="BJ85" i="15"/>
  <c r="BG85" i="15"/>
  <c r="BB85" i="15" l="1"/>
  <c r="L85" i="15" s="1"/>
  <c r="U80" i="7" s="1"/>
  <c r="AC84" i="15"/>
  <c r="AA84" i="15" s="1"/>
  <c r="BV85" i="15"/>
  <c r="BW85" i="15"/>
  <c r="BS85" i="15" s="1"/>
  <c r="BR85" i="15" s="1"/>
  <c r="K80" i="7" s="1"/>
  <c r="N78" i="9" l="1"/>
  <c r="O78" i="9" s="1"/>
  <c r="E131" i="13" s="1"/>
  <c r="J131" i="13" s="1"/>
  <c r="M80" i="7"/>
  <c r="N80" i="7" s="1"/>
  <c r="P78" i="9"/>
  <c r="F131" i="13" l="1"/>
  <c r="H79" i="7"/>
  <c r="E79" i="7" s="1"/>
  <c r="L131" i="13" s="1"/>
  <c r="N131" i="13" s="1"/>
  <c r="O131" i="13" s="1"/>
  <c r="L80" i="7"/>
  <c r="T80" i="7" s="1"/>
  <c r="V80" i="7" s="1"/>
  <c r="N85" i="15"/>
  <c r="AZ80" i="7"/>
  <c r="BA80" i="7" s="1"/>
  <c r="AR80" i="7"/>
  <c r="AS80" i="7" s="1"/>
  <c r="AJ80" i="7"/>
  <c r="AK80" i="7" s="1"/>
  <c r="AB80" i="7"/>
  <c r="AC80" i="7" s="1"/>
  <c r="Q85" i="15" l="1"/>
  <c r="R85" i="15" s="1"/>
  <c r="O85" i="15"/>
  <c r="Z81" i="7"/>
  <c r="Y81" i="7"/>
  <c r="AD81" i="7" s="1"/>
  <c r="G80" i="7"/>
  <c r="AH81" i="7"/>
  <c r="AG81" i="7"/>
  <c r="AL81" i="7" s="1"/>
  <c r="AP81" i="7"/>
  <c r="I80" i="7"/>
  <c r="AO81" i="7"/>
  <c r="AT81" i="7" s="1"/>
  <c r="AW81" i="7"/>
  <c r="BB81" i="7" s="1"/>
  <c r="AX81" i="7"/>
  <c r="L79" i="9"/>
  <c r="F80" i="7"/>
  <c r="W81" i="7"/>
  <c r="S81" i="7"/>
  <c r="AQ81" i="7" l="1"/>
  <c r="AU81" i="7" s="1"/>
  <c r="AI81" i="7"/>
  <c r="AM81" i="7" s="1"/>
  <c r="AA81" i="7"/>
  <c r="AY81" i="7"/>
  <c r="AV85" i="15"/>
  <c r="AX85" i="15"/>
  <c r="AS85" i="15"/>
  <c r="AR85" i="15"/>
  <c r="AW85" i="15"/>
  <c r="AT85" i="15"/>
  <c r="AY85" i="15"/>
  <c r="AU85" i="15"/>
  <c r="AZ85" i="15"/>
  <c r="AE81" i="7"/>
  <c r="Q81" i="7" s="1"/>
  <c r="I86" i="15" s="1"/>
  <c r="K86" i="15" s="1"/>
  <c r="W86" i="15" s="1"/>
  <c r="P81" i="7"/>
  <c r="AQ85" i="15" l="1"/>
  <c r="S85" i="15" s="1"/>
  <c r="U85" i="15" s="1"/>
  <c r="V85" i="15" s="1"/>
  <c r="AI85" i="15" s="1"/>
  <c r="BG86" i="15"/>
  <c r="BE86" i="15"/>
  <c r="BD86" i="15"/>
  <c r="BH86" i="15"/>
  <c r="BC86" i="15"/>
  <c r="BJ86" i="15"/>
  <c r="BK86" i="15"/>
  <c r="BI86" i="15"/>
  <c r="BF86" i="15"/>
  <c r="F86" i="15"/>
  <c r="G86" i="15" s="1"/>
  <c r="D133" i="13"/>
  <c r="M80" i="9"/>
  <c r="BC81" i="7"/>
  <c r="AN85" i="15" l="1"/>
  <c r="AH85" i="15"/>
  <c r="AD85" i="15"/>
  <c r="AF85" i="15"/>
  <c r="AK85" i="15"/>
  <c r="AJ85" i="15"/>
  <c r="AE85" i="15"/>
  <c r="AO85" i="15"/>
  <c r="AL85" i="15"/>
  <c r="AG85" i="15"/>
  <c r="BB86" i="15"/>
  <c r="L86" i="15" s="1"/>
  <c r="U81" i="7" s="1"/>
  <c r="BM86" i="15"/>
  <c r="BN86" i="15" s="1"/>
  <c r="BX86" i="15" s="1"/>
  <c r="BT86" i="15" s="1"/>
  <c r="BO86" i="15" s="1"/>
  <c r="BY86" i="15" s="1"/>
  <c r="BU86" i="15" s="1"/>
  <c r="AC85" i="15" l="1"/>
  <c r="AA85" i="15" s="1"/>
  <c r="P79" i="9"/>
  <c r="BP86" i="15"/>
  <c r="N79" i="9" l="1"/>
  <c r="O79" i="9" s="1"/>
  <c r="E132" i="13" s="1"/>
  <c r="J132" i="13" s="1"/>
  <c r="BV86" i="15"/>
  <c r="BW86" i="15"/>
  <c r="BS86" i="15" s="1"/>
  <c r="F132" i="13"/>
  <c r="H80" i="7"/>
  <c r="E80" i="7" s="1"/>
  <c r="L132" i="13" s="1"/>
  <c r="N132" i="13" s="1"/>
  <c r="O132" i="13" s="1"/>
  <c r="BR86" i="15" l="1"/>
  <c r="K81" i="7" s="1"/>
  <c r="M81" i="7" s="1"/>
  <c r="N81" i="7" s="1"/>
  <c r="N86" i="15" l="1"/>
  <c r="AR81" i="7"/>
  <c r="AS81" i="7" s="1"/>
  <c r="AZ81" i="7"/>
  <c r="BA81" i="7" s="1"/>
  <c r="L81" i="7"/>
  <c r="T81" i="7" s="1"/>
  <c r="V81" i="7" s="1"/>
  <c r="AB81" i="7"/>
  <c r="AC81" i="7" s="1"/>
  <c r="AJ81" i="7"/>
  <c r="AK81" i="7" s="1"/>
  <c r="Q86" i="15" l="1"/>
  <c r="O86" i="15"/>
  <c r="AH82" i="7"/>
  <c r="AG82" i="7"/>
  <c r="AL82" i="7" s="1"/>
  <c r="Y82" i="7"/>
  <c r="AD82" i="7" s="1"/>
  <c r="G81" i="7"/>
  <c r="Z82" i="7"/>
  <c r="W82" i="7"/>
  <c r="S82" i="7"/>
  <c r="F81" i="7"/>
  <c r="AW82" i="7"/>
  <c r="BB82" i="7" s="1"/>
  <c r="AX82" i="7"/>
  <c r="AP82" i="7"/>
  <c r="I81" i="7"/>
  <c r="AO82" i="7"/>
  <c r="AT82" i="7" s="1"/>
  <c r="R86" i="15"/>
  <c r="L80" i="9"/>
  <c r="P82" i="7" l="1"/>
  <c r="F87" i="15" s="1"/>
  <c r="G87" i="15" s="1"/>
  <c r="AY82" i="7"/>
  <c r="BC82" i="7" s="1"/>
  <c r="AA82" i="7"/>
  <c r="AE82" i="7" s="1"/>
  <c r="AS86" i="15"/>
  <c r="AR86" i="15"/>
  <c r="AU86" i="15"/>
  <c r="AT86" i="15"/>
  <c r="AV86" i="15"/>
  <c r="AZ86" i="15"/>
  <c r="AW86" i="15"/>
  <c r="AY86" i="15"/>
  <c r="AX86" i="15"/>
  <c r="AQ82" i="7"/>
  <c r="AI82" i="7"/>
  <c r="M81" i="9" l="1"/>
  <c r="D134" i="13"/>
  <c r="AQ86" i="15"/>
  <c r="S86" i="15" s="1"/>
  <c r="U86" i="15" s="1"/>
  <c r="V86" i="15" s="1"/>
  <c r="AF86" i="15" s="1"/>
  <c r="AU82" i="7"/>
  <c r="AM82" i="7"/>
  <c r="Q82" i="7" s="1"/>
  <c r="I87" i="15" s="1"/>
  <c r="K87" i="15" s="1"/>
  <c r="W87" i="15" s="1"/>
  <c r="BM87" i="15"/>
  <c r="BN87" i="15" s="1"/>
  <c r="BX87" i="15" s="1"/>
  <c r="BT87" i="15" s="1"/>
  <c r="BO87" i="15" s="1"/>
  <c r="BY87" i="15" s="1"/>
  <c r="BU87" i="15" s="1"/>
  <c r="AK86" i="15" l="1"/>
  <c r="AL86" i="15"/>
  <c r="AE86" i="15"/>
  <c r="AN86" i="15"/>
  <c r="AH86" i="15"/>
  <c r="AJ86" i="15"/>
  <c r="AD86" i="15"/>
  <c r="AO86" i="15"/>
  <c r="AI86" i="15"/>
  <c r="AG86" i="15"/>
  <c r="BJ87" i="15"/>
  <c r="BD87" i="15"/>
  <c r="BK87" i="15"/>
  <c r="BI87" i="15"/>
  <c r="BE87" i="15"/>
  <c r="BF87" i="15"/>
  <c r="BC87" i="15"/>
  <c r="BH87" i="15"/>
  <c r="BG87" i="15"/>
  <c r="BP87" i="15"/>
  <c r="AC86" i="15" l="1"/>
  <c r="AA86" i="15" s="1"/>
  <c r="BB87" i="15"/>
  <c r="L87" i="15" s="1"/>
  <c r="U82" i="7" s="1"/>
  <c r="BV87" i="15"/>
  <c r="BW87" i="15"/>
  <c r="BS87" i="15" s="1"/>
  <c r="BR87" i="15" s="1"/>
  <c r="K82" i="7" s="1"/>
  <c r="P80" i="9"/>
  <c r="N80" i="9" l="1"/>
  <c r="O80" i="9" s="1"/>
  <c r="E133" i="13" s="1"/>
  <c r="J133" i="13" s="1"/>
  <c r="F133" i="13"/>
  <c r="H81" i="7"/>
  <c r="E81" i="7" s="1"/>
  <c r="L133" i="13" s="1"/>
  <c r="N133" i="13" s="1"/>
  <c r="O133" i="13" s="1"/>
  <c r="M82" i="7"/>
  <c r="AB82" i="7" l="1"/>
  <c r="AC82" i="7" s="1"/>
  <c r="AJ82" i="7"/>
  <c r="AK82" i="7" s="1"/>
  <c r="N82" i="7"/>
  <c r="N87" i="15" l="1"/>
  <c r="AZ82" i="7"/>
  <c r="BA82" i="7" s="1"/>
  <c r="AR82" i="7"/>
  <c r="AS82" i="7" s="1"/>
  <c r="AH83" i="7"/>
  <c r="AG83" i="7"/>
  <c r="AL83" i="7" s="1"/>
  <c r="Z83" i="7"/>
  <c r="Y83" i="7"/>
  <c r="AD83" i="7" s="1"/>
  <c r="G82" i="7"/>
  <c r="L82" i="7"/>
  <c r="T82" i="7" s="1"/>
  <c r="V82" i="7" s="1"/>
  <c r="Q87" i="15" l="1"/>
  <c r="O87" i="15"/>
  <c r="AA83" i="7"/>
  <c r="AE83" i="7" s="1"/>
  <c r="P83" i="7"/>
  <c r="W83" i="7"/>
  <c r="S83" i="7"/>
  <c r="F82" i="7"/>
  <c r="AI83" i="7"/>
  <c r="I82" i="7"/>
  <c r="AO83" i="7"/>
  <c r="AT83" i="7" s="1"/>
  <c r="AP83" i="7"/>
  <c r="AW83" i="7"/>
  <c r="BB83" i="7" s="1"/>
  <c r="AX83" i="7"/>
  <c r="L81" i="9"/>
  <c r="R87" i="15"/>
  <c r="AY83" i="7" l="1"/>
  <c r="BC83" i="7" s="1"/>
  <c r="AQ83" i="7"/>
  <c r="AU83" i="7" s="1"/>
  <c r="AM83" i="7"/>
  <c r="Q83" i="7" s="1"/>
  <c r="I88" i="15" s="1"/>
  <c r="K88" i="15" s="1"/>
  <c r="W88" i="15" s="1"/>
  <c r="AU87" i="15"/>
  <c r="AY87" i="15"/>
  <c r="AS87" i="15"/>
  <c r="AV87" i="15"/>
  <c r="AW87" i="15"/>
  <c r="AT87" i="15"/>
  <c r="AZ87" i="15"/>
  <c r="AR87" i="15"/>
  <c r="AX87" i="15"/>
  <c r="F88" i="15"/>
  <c r="G88" i="15" s="1"/>
  <c r="D135" i="13"/>
  <c r="M82" i="9"/>
  <c r="BM88" i="15" l="1"/>
  <c r="BN88" i="15" s="1"/>
  <c r="BX88" i="15" s="1"/>
  <c r="BT88" i="15" s="1"/>
  <c r="BO88" i="15" s="1"/>
  <c r="BY88" i="15" s="1"/>
  <c r="BU88" i="15" s="1"/>
  <c r="AQ87" i="15"/>
  <c r="S87" i="15" s="1"/>
  <c r="U87" i="15" s="1"/>
  <c r="V87" i="15" s="1"/>
  <c r="BD88" i="15"/>
  <c r="BC88" i="15"/>
  <c r="BE88" i="15"/>
  <c r="BK88" i="15"/>
  <c r="BG88" i="15"/>
  <c r="BI88" i="15"/>
  <c r="BH88" i="15"/>
  <c r="BF88" i="15"/>
  <c r="BJ88" i="15"/>
  <c r="BB88" i="15" l="1"/>
  <c r="L88" i="15" s="1"/>
  <c r="U83" i="7" s="1"/>
  <c r="AF87" i="15"/>
  <c r="AD87" i="15"/>
  <c r="AI87" i="15"/>
  <c r="AJ87" i="15"/>
  <c r="AO87" i="15"/>
  <c r="AH87" i="15"/>
  <c r="AK87" i="15"/>
  <c r="AE87" i="15"/>
  <c r="AL87" i="15"/>
  <c r="AN87" i="15"/>
  <c r="AG87" i="15"/>
  <c r="BP88" i="15"/>
  <c r="BW88" i="15" l="1"/>
  <c r="BS88" i="15" s="1"/>
  <c r="BV88" i="15"/>
  <c r="AC87" i="15"/>
  <c r="AA87" i="15" s="1"/>
  <c r="N81" i="9" l="1"/>
  <c r="O81" i="9" s="1"/>
  <c r="E134" i="13" s="1"/>
  <c r="J134" i="13" s="1"/>
  <c r="BR88" i="15"/>
  <c r="K83" i="7" s="1"/>
  <c r="M83" i="7" s="1"/>
  <c r="P81" i="9"/>
  <c r="AB83" i="7" l="1"/>
  <c r="AC83" i="7" s="1"/>
  <c r="AJ83" i="7"/>
  <c r="AK83" i="7" s="1"/>
  <c r="N83" i="7"/>
  <c r="F134" i="13"/>
  <c r="H82" i="7"/>
  <c r="E82" i="7" s="1"/>
  <c r="L134" i="13" s="1"/>
  <c r="N134" i="13" s="1"/>
  <c r="O134" i="13" s="1"/>
  <c r="L83" i="7" l="1"/>
  <c r="T83" i="7" s="1"/>
  <c r="V83" i="7" s="1"/>
  <c r="N88" i="15"/>
  <c r="AR83" i="7"/>
  <c r="AS83" i="7" s="1"/>
  <c r="AZ83" i="7"/>
  <c r="BA83" i="7" s="1"/>
  <c r="AG84" i="7"/>
  <c r="AL84" i="7" s="1"/>
  <c r="AH84" i="7"/>
  <c r="Y84" i="7"/>
  <c r="AD84" i="7" s="1"/>
  <c r="G83" i="7"/>
  <c r="Z84" i="7"/>
  <c r="Q88" i="15" l="1"/>
  <c r="O88" i="15"/>
  <c r="AI84" i="7"/>
  <c r="AM84" i="7" s="1"/>
  <c r="AA84" i="7"/>
  <c r="AE84" i="7" s="1"/>
  <c r="AX84" i="7"/>
  <c r="AW84" i="7"/>
  <c r="BB84" i="7" s="1"/>
  <c r="AP84" i="7"/>
  <c r="AO84" i="7"/>
  <c r="AT84" i="7" s="1"/>
  <c r="I83" i="7"/>
  <c r="P84" i="7"/>
  <c r="R88" i="15"/>
  <c r="L82" i="9"/>
  <c r="F83" i="7"/>
  <c r="W84" i="7"/>
  <c r="S84" i="7"/>
  <c r="Q84" i="7" l="1"/>
  <c r="I89" i="15" s="1"/>
  <c r="K89" i="15" s="1"/>
  <c r="W89" i="15" s="1"/>
  <c r="BF89" i="15" s="1"/>
  <c r="AQ84" i="7"/>
  <c r="AU84" i="7" s="1"/>
  <c r="AY84" i="7"/>
  <c r="BC84" i="7" s="1"/>
  <c r="AY88" i="15"/>
  <c r="AV88" i="15"/>
  <c r="AT88" i="15"/>
  <c r="AX88" i="15"/>
  <c r="AR88" i="15"/>
  <c r="AZ88" i="15"/>
  <c r="AU88" i="15"/>
  <c r="AS88" i="15"/>
  <c r="AW88" i="15"/>
  <c r="D136" i="13"/>
  <c r="F89" i="15"/>
  <c r="G89" i="15" s="1"/>
  <c r="M83" i="9"/>
  <c r="BK89" i="15" l="1"/>
  <c r="BH89" i="15"/>
  <c r="BI89" i="15"/>
  <c r="BD89" i="15"/>
  <c r="BG89" i="15"/>
  <c r="BE89" i="15"/>
  <c r="BJ89" i="15"/>
  <c r="BC89" i="15"/>
  <c r="BM89" i="15"/>
  <c r="BN89" i="15" s="1"/>
  <c r="BX89" i="15" s="1"/>
  <c r="BT89" i="15" s="1"/>
  <c r="BO89" i="15" s="1"/>
  <c r="BY89" i="15" s="1"/>
  <c r="BU89" i="15" s="1"/>
  <c r="AQ88" i="15"/>
  <c r="S88" i="15" s="1"/>
  <c r="U88" i="15" s="1"/>
  <c r="V88" i="15" s="1"/>
  <c r="BB89" i="15" l="1"/>
  <c r="L89" i="15" s="1"/>
  <c r="U84" i="7" s="1"/>
  <c r="AD88" i="15"/>
  <c r="AI88" i="15"/>
  <c r="AN88" i="15"/>
  <c r="AL88" i="15"/>
  <c r="AE88" i="15"/>
  <c r="AK88" i="15"/>
  <c r="AG88" i="15"/>
  <c r="AF88" i="15"/>
  <c r="AH88" i="15"/>
  <c r="AO88" i="15"/>
  <c r="AJ88" i="15"/>
  <c r="BP89" i="15"/>
  <c r="BW89" i="15" l="1"/>
  <c r="BS89" i="15" s="1"/>
  <c r="BV89" i="15"/>
  <c r="AC88" i="15"/>
  <c r="AA88" i="15" s="1"/>
  <c r="N82" i="9" l="1"/>
  <c r="O82" i="9" s="1"/>
  <c r="E135" i="13" s="1"/>
  <c r="J135" i="13" s="1"/>
  <c r="BR89" i="15"/>
  <c r="K84" i="7" s="1"/>
  <c r="M84" i="7" s="1"/>
  <c r="N84" i="7" s="1"/>
  <c r="P82" i="9"/>
  <c r="AB84" i="7" l="1"/>
  <c r="AC84" i="7" s="1"/>
  <c r="AJ84" i="7"/>
  <c r="AK84" i="7" s="1"/>
  <c r="N89" i="15"/>
  <c r="AZ84" i="7"/>
  <c r="BA84" i="7" s="1"/>
  <c r="AR84" i="7"/>
  <c r="AS84" i="7" s="1"/>
  <c r="L84" i="7"/>
  <c r="T84" i="7" s="1"/>
  <c r="V84" i="7" s="1"/>
  <c r="F135" i="13"/>
  <c r="H83" i="7"/>
  <c r="E83" i="7" s="1"/>
  <c r="L135" i="13" s="1"/>
  <c r="N135" i="13" s="1"/>
  <c r="O135" i="13" s="1"/>
  <c r="Q89" i="15" l="1"/>
  <c r="R89" i="15" s="1"/>
  <c r="O89" i="15"/>
  <c r="S85" i="7"/>
  <c r="F84" i="7"/>
  <c r="W85" i="7"/>
  <c r="AP85" i="7"/>
  <c r="I84" i="7"/>
  <c r="AO85" i="7"/>
  <c r="AT85" i="7" s="1"/>
  <c r="AX85" i="7"/>
  <c r="AW85" i="7"/>
  <c r="BB85" i="7" s="1"/>
  <c r="AH85" i="7"/>
  <c r="AG85" i="7"/>
  <c r="AL85" i="7" s="1"/>
  <c r="G84" i="7"/>
  <c r="Z85" i="7"/>
  <c r="P85" i="7" s="1"/>
  <c r="Y85" i="7"/>
  <c r="AD85" i="7" s="1"/>
  <c r="L83" i="9" l="1"/>
  <c r="AI85" i="7"/>
  <c r="AM85" i="7" s="1"/>
  <c r="AY85" i="7"/>
  <c r="BC85" i="7" s="1"/>
  <c r="AQ85" i="7"/>
  <c r="M84" i="9"/>
  <c r="D137" i="13"/>
  <c r="F90" i="15"/>
  <c r="G90" i="15" s="1"/>
  <c r="AZ89" i="15"/>
  <c r="AX89" i="15"/>
  <c r="AR89" i="15"/>
  <c r="AU89" i="15"/>
  <c r="AW89" i="15"/>
  <c r="AS89" i="15"/>
  <c r="AV89" i="15"/>
  <c r="AT89" i="15"/>
  <c r="AY89" i="15"/>
  <c r="AA85" i="7"/>
  <c r="BM90" i="15" l="1"/>
  <c r="BN90" i="15" s="1"/>
  <c r="BX90" i="15" s="1"/>
  <c r="BT90" i="15" s="1"/>
  <c r="BO90" i="15" s="1"/>
  <c r="BY90" i="15" s="1"/>
  <c r="BU90" i="15" s="1"/>
  <c r="AQ89" i="15"/>
  <c r="S89" i="15" s="1"/>
  <c r="U89" i="15" s="1"/>
  <c r="V89" i="15" s="1"/>
  <c r="AE85" i="7"/>
  <c r="Q85" i="7" s="1"/>
  <c r="I90" i="15" s="1"/>
  <c r="K90" i="15" s="1"/>
  <c r="W90" i="15" s="1"/>
  <c r="AU85" i="7"/>
  <c r="BK90" i="15" l="1"/>
  <c r="BH90" i="15"/>
  <c r="BG90" i="15"/>
  <c r="BI90" i="15"/>
  <c r="BC90" i="15"/>
  <c r="BJ90" i="15"/>
  <c r="BF90" i="15"/>
  <c r="BD90" i="15"/>
  <c r="BE90" i="15"/>
  <c r="AF89" i="15"/>
  <c r="AK89" i="15"/>
  <c r="AH89" i="15"/>
  <c r="AD89" i="15"/>
  <c r="AJ89" i="15"/>
  <c r="AN89" i="15"/>
  <c r="AL89" i="15"/>
  <c r="AI89" i="15"/>
  <c r="AE89" i="15"/>
  <c r="AG89" i="15"/>
  <c r="AO89" i="15"/>
  <c r="BP90" i="15"/>
  <c r="BV90" i="15" l="1"/>
  <c r="BW90" i="15"/>
  <c r="BS90" i="15" s="1"/>
  <c r="BR90" i="15" s="1"/>
  <c r="K85" i="7" s="1"/>
  <c r="AC89" i="15"/>
  <c r="AA89" i="15" s="1"/>
  <c r="BB90" i="15"/>
  <c r="L90" i="15" s="1"/>
  <c r="U85" i="7" s="1"/>
  <c r="N83" i="9" l="1"/>
  <c r="O83" i="9" s="1"/>
  <c r="E136" i="13" s="1"/>
  <c r="J136" i="13" s="1"/>
  <c r="P83" i="9"/>
  <c r="M85" i="7"/>
  <c r="N85" i="7" s="1"/>
  <c r="AJ85" i="7" l="1"/>
  <c r="AK85" i="7" s="1"/>
  <c r="AB85" i="7"/>
  <c r="AC85" i="7" s="1"/>
  <c r="N90" i="15"/>
  <c r="AZ85" i="7"/>
  <c r="BA85" i="7" s="1"/>
  <c r="AR85" i="7"/>
  <c r="AS85" i="7" s="1"/>
  <c r="L85" i="7"/>
  <c r="T85" i="7" s="1"/>
  <c r="V85" i="7" s="1"/>
  <c r="F136" i="13"/>
  <c r="H84" i="7"/>
  <c r="E84" i="7" s="1"/>
  <c r="L136" i="13" s="1"/>
  <c r="N136" i="13" s="1"/>
  <c r="O136" i="13" s="1"/>
  <c r="Q90" i="15" l="1"/>
  <c r="R90" i="15" s="1"/>
  <c r="O90" i="15"/>
  <c r="W86" i="7"/>
  <c r="S86" i="7"/>
  <c r="F85" i="7"/>
  <c r="AW86" i="7"/>
  <c r="BB86" i="7" s="1"/>
  <c r="AX86" i="7"/>
  <c r="I85" i="7"/>
  <c r="AP86" i="7"/>
  <c r="AO86" i="7"/>
  <c r="AT86" i="7" s="1"/>
  <c r="L84" i="9"/>
  <c r="G85" i="7"/>
  <c r="Z86" i="7"/>
  <c r="P86" i="7" s="1"/>
  <c r="Y86" i="7"/>
  <c r="AD86" i="7" s="1"/>
  <c r="AH86" i="7"/>
  <c r="AG86" i="7"/>
  <c r="AL86" i="7" s="1"/>
  <c r="AY86" i="7" l="1"/>
  <c r="AQ86" i="7"/>
  <c r="AU86" i="7" s="1"/>
  <c r="BC86" i="7"/>
  <c r="AI86" i="7"/>
  <c r="AM86" i="7" s="1"/>
  <c r="AA86" i="7"/>
  <c r="AE86" i="7" s="1"/>
  <c r="Q86" i="7"/>
  <c r="I91" i="15" s="1"/>
  <c r="K91" i="15" s="1"/>
  <c r="W91" i="15" s="1"/>
  <c r="BG91" i="15" s="1"/>
  <c r="AU90" i="15"/>
  <c r="AT90" i="15"/>
  <c r="AW90" i="15"/>
  <c r="AR90" i="15"/>
  <c r="AV90" i="15"/>
  <c r="AY90" i="15"/>
  <c r="AX90" i="15"/>
  <c r="AZ90" i="15"/>
  <c r="AS90" i="15"/>
  <c r="F91" i="15"/>
  <c r="G91" i="15" s="1"/>
  <c r="M85" i="9"/>
  <c r="D138" i="13"/>
  <c r="BF91" i="15" l="1"/>
  <c r="BJ91" i="15"/>
  <c r="BE91" i="15"/>
  <c r="BC91" i="15"/>
  <c r="BK91" i="15"/>
  <c r="BH91" i="15"/>
  <c r="BI91" i="15"/>
  <c r="BD91" i="15"/>
  <c r="AQ90" i="15"/>
  <c r="S90" i="15" s="1"/>
  <c r="U90" i="15" s="1"/>
  <c r="V90" i="15" s="1"/>
  <c r="BM91" i="15"/>
  <c r="BN91" i="15" s="1"/>
  <c r="BX91" i="15" s="1"/>
  <c r="BT91" i="15" s="1"/>
  <c r="BO91" i="15" s="1"/>
  <c r="BY91" i="15" s="1"/>
  <c r="BU91" i="15" s="1"/>
  <c r="BB91" i="15" l="1"/>
  <c r="L91" i="15" s="1"/>
  <c r="U86" i="7" s="1"/>
  <c r="BP91" i="15"/>
  <c r="AF90" i="15"/>
  <c r="AN90" i="15"/>
  <c r="AL90" i="15"/>
  <c r="AJ90" i="15"/>
  <c r="AE90" i="15"/>
  <c r="AH90" i="15"/>
  <c r="AO90" i="15"/>
  <c r="AI90" i="15"/>
  <c r="AK90" i="15"/>
  <c r="AD90" i="15"/>
  <c r="AG90" i="15"/>
  <c r="AC90" i="15" l="1"/>
  <c r="AA90" i="15" s="1"/>
  <c r="BW91" i="15"/>
  <c r="BS91" i="15" s="1"/>
  <c r="BV91" i="15"/>
  <c r="N84" i="9" l="1"/>
  <c r="O84" i="9" s="1"/>
  <c r="E137" i="13" s="1"/>
  <c r="J137" i="13" s="1"/>
  <c r="BR91" i="15"/>
  <c r="K86" i="7" s="1"/>
  <c r="M86" i="7" s="1"/>
  <c r="N86" i="7" s="1"/>
  <c r="P84" i="9"/>
  <c r="F137" i="13" l="1"/>
  <c r="H85" i="7"/>
  <c r="E85" i="7" s="1"/>
  <c r="L137" i="13" s="1"/>
  <c r="N137" i="13" s="1"/>
  <c r="O137" i="13" s="1"/>
  <c r="N91" i="15"/>
  <c r="AR86" i="7"/>
  <c r="AS86" i="7" s="1"/>
  <c r="AZ86" i="7"/>
  <c r="BA86" i="7" s="1"/>
  <c r="AB86" i="7"/>
  <c r="AC86" i="7" s="1"/>
  <c r="AJ86" i="7"/>
  <c r="AK86" i="7" s="1"/>
  <c r="L86" i="7"/>
  <c r="T86" i="7" s="1"/>
  <c r="V86" i="7" s="1"/>
  <c r="Q91" i="15" l="1"/>
  <c r="O91" i="15"/>
  <c r="S87" i="7"/>
  <c r="F86" i="7"/>
  <c r="W87" i="7"/>
  <c r="Z87" i="7"/>
  <c r="G86" i="7"/>
  <c r="Y87" i="7"/>
  <c r="AD87" i="7" s="1"/>
  <c r="I86" i="7"/>
  <c r="AO87" i="7"/>
  <c r="AT87" i="7" s="1"/>
  <c r="AP87" i="7"/>
  <c r="AX87" i="7"/>
  <c r="AW87" i="7"/>
  <c r="BB87" i="7" s="1"/>
  <c r="R91" i="15"/>
  <c r="L85" i="9"/>
  <c r="AG87" i="7"/>
  <c r="AL87" i="7" s="1"/>
  <c r="AH87" i="7"/>
  <c r="AY87" i="7" l="1"/>
  <c r="BC87" i="7" s="1"/>
  <c r="AA87" i="7"/>
  <c r="AE87" i="7" s="1"/>
  <c r="AQ87" i="7"/>
  <c r="AU87" i="7" s="1"/>
  <c r="AI87" i="7"/>
  <c r="AM87" i="7" s="1"/>
  <c r="Q87" i="7" s="1"/>
  <c r="I92" i="15" s="1"/>
  <c r="K92" i="15" s="1"/>
  <c r="W92" i="15" s="1"/>
  <c r="BH92" i="15" s="1"/>
  <c r="P87" i="7"/>
  <c r="AR91" i="15"/>
  <c r="AW91" i="15"/>
  <c r="AT91" i="15"/>
  <c r="AU91" i="15"/>
  <c r="AZ91" i="15"/>
  <c r="AX91" i="15"/>
  <c r="AY91" i="15"/>
  <c r="AV91" i="15"/>
  <c r="AS91" i="15"/>
  <c r="BK92" i="15" l="1"/>
  <c r="BF92" i="15"/>
  <c r="BC92" i="15"/>
  <c r="BD92" i="15"/>
  <c r="BI92" i="15"/>
  <c r="BE92" i="15"/>
  <c r="BG92" i="15"/>
  <c r="BJ92" i="15"/>
  <c r="AQ91" i="15"/>
  <c r="S91" i="15" s="1"/>
  <c r="U91" i="15" s="1"/>
  <c r="V91" i="15" s="1"/>
  <c r="F92" i="15"/>
  <c r="G92" i="15" s="1"/>
  <c r="M86" i="9"/>
  <c r="P86" i="9" s="1"/>
  <c r="F139" i="13" s="1"/>
  <c r="D139" i="13"/>
  <c r="BB92" i="15" l="1"/>
  <c r="L92" i="15" s="1"/>
  <c r="U87" i="7" s="1"/>
  <c r="BM92" i="15"/>
  <c r="BN92" i="15" s="1"/>
  <c r="BX92" i="15" s="1"/>
  <c r="BT92" i="15" s="1"/>
  <c r="BO92" i="15" s="1"/>
  <c r="BY92" i="15" s="1"/>
  <c r="BU92" i="15" s="1"/>
  <c r="AO91" i="15"/>
  <c r="AI91" i="15"/>
  <c r="AH91" i="15"/>
  <c r="AE91" i="15"/>
  <c r="AN91" i="15"/>
  <c r="AF91" i="15"/>
  <c r="AK91" i="15"/>
  <c r="AG91" i="15"/>
  <c r="AD91" i="15"/>
  <c r="AJ91" i="15"/>
  <c r="AL91" i="15"/>
  <c r="AC91" i="15" l="1"/>
  <c r="AA91" i="15" s="1"/>
  <c r="BP92" i="15"/>
  <c r="N85" i="9" l="1"/>
  <c r="O85" i="9" s="1"/>
  <c r="E138" i="13" s="1"/>
  <c r="J138" i="13" s="1"/>
  <c r="BW92" i="15"/>
  <c r="BS92" i="15" s="1"/>
  <c r="BV92" i="15"/>
  <c r="P85" i="9"/>
  <c r="BR92" i="15" l="1"/>
  <c r="K87" i="7" s="1"/>
  <c r="M87" i="7" s="1"/>
  <c r="N87" i="7" s="1"/>
  <c r="F138" i="13"/>
  <c r="H86" i="7"/>
  <c r="E86" i="7" s="1"/>
  <c r="L138" i="13" s="1"/>
  <c r="N138" i="13" s="1"/>
  <c r="O138" i="13" s="1"/>
  <c r="N92" i="15" l="1"/>
  <c r="AR87" i="7"/>
  <c r="AS87" i="7" s="1"/>
  <c r="AZ87" i="7"/>
  <c r="BA87" i="7" s="1"/>
  <c r="AB87" i="7"/>
  <c r="AC87" i="7" s="1"/>
  <c r="AJ87" i="7"/>
  <c r="AK87" i="7" s="1"/>
  <c r="L87" i="7"/>
  <c r="T87" i="7" s="1"/>
  <c r="V87" i="7" s="1"/>
  <c r="Q92" i="15" l="1"/>
  <c r="O92" i="15"/>
  <c r="AG88" i="7"/>
  <c r="AL88" i="7" s="1"/>
  <c r="AH88" i="7"/>
  <c r="Z88" i="7"/>
  <c r="P88" i="7" s="1"/>
  <c r="G87" i="7"/>
  <c r="Y88" i="7"/>
  <c r="AD88" i="7" s="1"/>
  <c r="AX88" i="7"/>
  <c r="AW88" i="7"/>
  <c r="BB88" i="7" s="1"/>
  <c r="AP88" i="7"/>
  <c r="AO88" i="7"/>
  <c r="AT88" i="7" s="1"/>
  <c r="I87" i="7"/>
  <c r="H87" i="7" s="1"/>
  <c r="F87" i="7"/>
  <c r="W88" i="7"/>
  <c r="S88" i="7"/>
  <c r="R92" i="15"/>
  <c r="L86" i="9"/>
  <c r="E87" i="7" l="1"/>
  <c r="L139" i="13" s="1"/>
  <c r="N139" i="13" s="1"/>
  <c r="O139" i="13" s="1"/>
  <c r="AY88" i="7"/>
  <c r="BC88" i="7" s="1"/>
  <c r="AQ88" i="7"/>
  <c r="AU88" i="7" s="1"/>
  <c r="AZ92" i="15"/>
  <c r="AW92" i="15"/>
  <c r="AX92" i="15"/>
  <c r="AS92" i="15"/>
  <c r="AU92" i="15"/>
  <c r="AT92" i="15"/>
  <c r="AY92" i="15"/>
  <c r="AR92" i="15"/>
  <c r="AV92" i="15"/>
  <c r="AA88" i="7"/>
  <c r="M87" i="9"/>
  <c r="P87" i="9" s="1"/>
  <c r="F140" i="13" s="1"/>
  <c r="D140" i="13"/>
  <c r="F93" i="15"/>
  <c r="G93" i="15" s="1"/>
  <c r="AI88" i="7"/>
  <c r="AM88" i="7" l="1"/>
  <c r="Q88" i="7" s="1"/>
  <c r="I93" i="15" s="1"/>
  <c r="K93" i="15" s="1"/>
  <c r="W93" i="15" s="1"/>
  <c r="AQ92" i="15"/>
  <c r="S92" i="15" s="1"/>
  <c r="U92" i="15" s="1"/>
  <c r="V92" i="15" s="1"/>
  <c r="BM93" i="15"/>
  <c r="BN93" i="15" s="1"/>
  <c r="BX93" i="15" s="1"/>
  <c r="BT93" i="15" s="1"/>
  <c r="BO93" i="15" s="1"/>
  <c r="BY93" i="15" s="1"/>
  <c r="BU93" i="15" s="1"/>
  <c r="AE88" i="7"/>
  <c r="BP93" i="15" l="1"/>
  <c r="AK92" i="15"/>
  <c r="AF92" i="15"/>
  <c r="AH92" i="15"/>
  <c r="AN92" i="15"/>
  <c r="AJ92" i="15"/>
  <c r="AG92" i="15"/>
  <c r="AI92" i="15"/>
  <c r="AO92" i="15"/>
  <c r="AD92" i="15"/>
  <c r="AE92" i="15"/>
  <c r="AL92" i="15"/>
  <c r="BE93" i="15"/>
  <c r="BJ93" i="15"/>
  <c r="BI93" i="15"/>
  <c r="BD93" i="15"/>
  <c r="BK93" i="15"/>
  <c r="BF93" i="15"/>
  <c r="BG93" i="15"/>
  <c r="BH93" i="15"/>
  <c r="BC93" i="15"/>
  <c r="BB93" i="15" l="1"/>
  <c r="L93" i="15" s="1"/>
  <c r="U88" i="7" s="1"/>
  <c r="AC92" i="15"/>
  <c r="AA92" i="15" s="1"/>
  <c r="BV93" i="15"/>
  <c r="BW93" i="15"/>
  <c r="BS93" i="15" s="1"/>
  <c r="BR93" i="15" s="1"/>
  <c r="K88" i="7" s="1"/>
  <c r="N86" i="9" l="1"/>
  <c r="O86" i="9" s="1"/>
  <c r="E139" i="13" s="1"/>
  <c r="J139" i="13" s="1"/>
  <c r="M88" i="7"/>
  <c r="N88" i="7" s="1"/>
  <c r="AJ88" i="7" l="1"/>
  <c r="AK88" i="7" s="1"/>
  <c r="AB88" i="7"/>
  <c r="AC88" i="7" s="1"/>
  <c r="N93" i="15"/>
  <c r="AZ88" i="7"/>
  <c r="BA88" i="7" s="1"/>
  <c r="AR88" i="7"/>
  <c r="AS88" i="7" s="1"/>
  <c r="L88" i="7"/>
  <c r="T88" i="7" s="1"/>
  <c r="V88" i="7" s="1"/>
  <c r="Q93" i="15" l="1"/>
  <c r="O93" i="15"/>
  <c r="W89" i="7"/>
  <c r="S89" i="7"/>
  <c r="F88" i="7"/>
  <c r="AW89" i="7"/>
  <c r="BB89" i="7" s="1"/>
  <c r="AX89" i="7"/>
  <c r="AP89" i="7"/>
  <c r="AO89" i="7"/>
  <c r="AT89" i="7" s="1"/>
  <c r="I88" i="7"/>
  <c r="H88" i="7" s="1"/>
  <c r="L87" i="9"/>
  <c r="R93" i="15"/>
  <c r="Y89" i="7"/>
  <c r="AD89" i="7" s="1"/>
  <c r="G88" i="7"/>
  <c r="Z89" i="7"/>
  <c r="P89" i="7" s="1"/>
  <c r="AH89" i="7"/>
  <c r="AG89" i="7"/>
  <c r="AL89" i="7" s="1"/>
  <c r="AI89" i="7" l="1"/>
  <c r="AM89" i="7" s="1"/>
  <c r="AQ89" i="7"/>
  <c r="AU89" i="7" s="1"/>
  <c r="AY89" i="7"/>
  <c r="BC89" i="7" s="1"/>
  <c r="AS93" i="15"/>
  <c r="AR93" i="15"/>
  <c r="AT93" i="15"/>
  <c r="AV93" i="15"/>
  <c r="AW93" i="15"/>
  <c r="AX93" i="15"/>
  <c r="AY93" i="15"/>
  <c r="AU93" i="15"/>
  <c r="AZ93" i="15"/>
  <c r="E88" i="7"/>
  <c r="L140" i="13" s="1"/>
  <c r="N140" i="13" s="1"/>
  <c r="O140" i="13" s="1"/>
  <c r="D141" i="13"/>
  <c r="M88" i="9"/>
  <c r="P88" i="9" s="1"/>
  <c r="F141" i="13" s="1"/>
  <c r="F94" i="15"/>
  <c r="G94" i="15" s="1"/>
  <c r="AA89" i="7"/>
  <c r="AE89" i="7" l="1"/>
  <c r="Q89" i="7" s="1"/>
  <c r="I94" i="15" s="1"/>
  <c r="K94" i="15" s="1"/>
  <c r="W94" i="15" s="1"/>
  <c r="BM94" i="15"/>
  <c r="BN94" i="15" s="1"/>
  <c r="BX94" i="15" s="1"/>
  <c r="BT94" i="15" s="1"/>
  <c r="BO94" i="15" s="1"/>
  <c r="BY94" i="15" s="1"/>
  <c r="BU94" i="15" s="1"/>
  <c r="AQ93" i="15"/>
  <c r="S93" i="15" s="1"/>
  <c r="U93" i="15" s="1"/>
  <c r="V93" i="15" s="1"/>
  <c r="AI93" i="15" l="1"/>
  <c r="AK93" i="15"/>
  <c r="AD93" i="15"/>
  <c r="AL93" i="15"/>
  <c r="AN93" i="15"/>
  <c r="AH93" i="15"/>
  <c r="AG93" i="15"/>
  <c r="AF93" i="15"/>
  <c r="AJ93" i="15"/>
  <c r="AO93" i="15"/>
  <c r="AE93" i="15"/>
  <c r="BP94" i="15"/>
  <c r="BG94" i="15"/>
  <c r="BD94" i="15"/>
  <c r="BF94" i="15"/>
  <c r="BI94" i="15"/>
  <c r="BC94" i="15"/>
  <c r="BK94" i="15"/>
  <c r="BE94" i="15"/>
  <c r="BH94" i="15"/>
  <c r="BJ94" i="15"/>
  <c r="BW94" i="15" l="1"/>
  <c r="BS94" i="15" s="1"/>
  <c r="BV94" i="15"/>
  <c r="AC93" i="15"/>
  <c r="AA93" i="15" s="1"/>
  <c r="BB94" i="15"/>
  <c r="L94" i="15" s="1"/>
  <c r="U89" i="7" s="1"/>
  <c r="N87" i="9" l="1"/>
  <c r="O87" i="9" s="1"/>
  <c r="E140" i="13" s="1"/>
  <c r="J140" i="13" s="1"/>
  <c r="BR94" i="15"/>
  <c r="K89" i="7" s="1"/>
  <c r="M89" i="7" s="1"/>
  <c r="N89" i="7" s="1"/>
  <c r="AJ89" i="7" l="1"/>
  <c r="AK89" i="7" s="1"/>
  <c r="AB89" i="7"/>
  <c r="AC89" i="7" s="1"/>
  <c r="N94" i="15"/>
  <c r="AR89" i="7"/>
  <c r="AS89" i="7" s="1"/>
  <c r="AZ89" i="7"/>
  <c r="BA89" i="7" s="1"/>
  <c r="L89" i="7"/>
  <c r="T89" i="7" s="1"/>
  <c r="V89" i="7" s="1"/>
  <c r="Q94" i="15" l="1"/>
  <c r="O94" i="15"/>
  <c r="S90" i="7"/>
  <c r="F89" i="7"/>
  <c r="W90" i="7"/>
  <c r="AP90" i="7"/>
  <c r="I89" i="7"/>
  <c r="H89" i="7" s="1"/>
  <c r="AO90" i="7"/>
  <c r="AT90" i="7" s="1"/>
  <c r="AW90" i="7"/>
  <c r="BB90" i="7" s="1"/>
  <c r="AX90" i="7"/>
  <c r="R94" i="15"/>
  <c r="L88" i="9"/>
  <c r="Z90" i="7"/>
  <c r="P90" i="7" s="1"/>
  <c r="Y90" i="7"/>
  <c r="AD90" i="7" s="1"/>
  <c r="G89" i="7"/>
  <c r="AG90" i="7"/>
  <c r="AL90" i="7" s="1"/>
  <c r="AH90" i="7"/>
  <c r="E89" i="7" l="1"/>
  <c r="L141" i="13" s="1"/>
  <c r="N141" i="13" s="1"/>
  <c r="O141" i="13" s="1"/>
  <c r="AI90" i="7"/>
  <c r="AM90" i="7" s="1"/>
  <c r="AY90" i="7"/>
  <c r="BC90" i="7" s="1"/>
  <c r="F95" i="15"/>
  <c r="G95" i="15" s="1"/>
  <c r="M89" i="9"/>
  <c r="P89" i="9" s="1"/>
  <c r="F142" i="13" s="1"/>
  <c r="D142" i="13"/>
  <c r="AA90" i="7"/>
  <c r="AU94" i="15"/>
  <c r="AW94" i="15"/>
  <c r="AR94" i="15"/>
  <c r="AZ94" i="15"/>
  <c r="AT94" i="15"/>
  <c r="AV94" i="15"/>
  <c r="AX94" i="15"/>
  <c r="AY94" i="15"/>
  <c r="AS94" i="15"/>
  <c r="AQ90" i="7"/>
  <c r="AQ94" i="15" l="1"/>
  <c r="S94" i="15" s="1"/>
  <c r="U94" i="15" s="1"/>
  <c r="V94" i="15" s="1"/>
  <c r="AK94" i="15" s="1"/>
  <c r="AU90" i="7"/>
  <c r="AE90" i="7"/>
  <c r="Q90" i="7" s="1"/>
  <c r="I95" i="15" s="1"/>
  <c r="K95" i="15" s="1"/>
  <c r="W95" i="15" s="1"/>
  <c r="BM95" i="15"/>
  <c r="BN95" i="15" s="1"/>
  <c r="BX95" i="15" s="1"/>
  <c r="BT95" i="15" s="1"/>
  <c r="BO95" i="15" s="1"/>
  <c r="BY95" i="15" s="1"/>
  <c r="BU95" i="15" s="1"/>
  <c r="AJ94" i="15" l="1"/>
  <c r="AN94" i="15"/>
  <c r="AI94" i="15"/>
  <c r="AF94" i="15"/>
  <c r="AO94" i="15"/>
  <c r="AE94" i="15"/>
  <c r="AH94" i="15"/>
  <c r="AG94" i="15"/>
  <c r="AL94" i="15"/>
  <c r="AD94" i="15"/>
  <c r="BF95" i="15"/>
  <c r="BG95" i="15"/>
  <c r="BE95" i="15"/>
  <c r="BD95" i="15"/>
  <c r="BH95" i="15"/>
  <c r="BJ95" i="15"/>
  <c r="BI95" i="15"/>
  <c r="BK95" i="15"/>
  <c r="BC95" i="15"/>
  <c r="BP95" i="15"/>
  <c r="AC94" i="15" l="1"/>
  <c r="AA94" i="15" s="1"/>
  <c r="BW95" i="15"/>
  <c r="BS95" i="15" s="1"/>
  <c r="BV95" i="15"/>
  <c r="BB95" i="15"/>
  <c r="L95" i="15" s="1"/>
  <c r="U90" i="7" s="1"/>
  <c r="N88" i="9" l="1"/>
  <c r="O88" i="9" s="1"/>
  <c r="E141" i="13" s="1"/>
  <c r="J141" i="13" s="1"/>
  <c r="BR95" i="15"/>
  <c r="K90" i="7" s="1"/>
  <c r="M90" i="7" s="1"/>
  <c r="AJ90" i="7" l="1"/>
  <c r="AK90" i="7" s="1"/>
  <c r="AB90" i="7"/>
  <c r="AC90" i="7" s="1"/>
  <c r="N90" i="7"/>
  <c r="L90" i="7" l="1"/>
  <c r="T90" i="7" s="1"/>
  <c r="V90" i="7" s="1"/>
  <c r="N95" i="15"/>
  <c r="AZ90" i="7"/>
  <c r="BA90" i="7" s="1"/>
  <c r="AR90" i="7"/>
  <c r="AS90" i="7" s="1"/>
  <c r="Y91" i="7"/>
  <c r="AD91" i="7" s="1"/>
  <c r="G90" i="7"/>
  <c r="Z91" i="7"/>
  <c r="AH91" i="7"/>
  <c r="AG91" i="7"/>
  <c r="AL91" i="7" s="1"/>
  <c r="Q95" i="15" l="1"/>
  <c r="O95" i="15"/>
  <c r="AI91" i="7"/>
  <c r="AM91" i="7" s="1"/>
  <c r="P91" i="7"/>
  <c r="AA91" i="7"/>
  <c r="AO91" i="7"/>
  <c r="AT91" i="7" s="1"/>
  <c r="AP91" i="7"/>
  <c r="I90" i="7"/>
  <c r="H90" i="7" s="1"/>
  <c r="E90" i="7" s="1"/>
  <c r="L142" i="13" s="1"/>
  <c r="N142" i="13" s="1"/>
  <c r="O142" i="13" s="1"/>
  <c r="AW91" i="7"/>
  <c r="BB91" i="7" s="1"/>
  <c r="AX91" i="7"/>
  <c r="L89" i="9"/>
  <c r="R95" i="15"/>
  <c r="W91" i="7"/>
  <c r="F90" i="7"/>
  <c r="S91" i="7"/>
  <c r="AT95" i="15" l="1"/>
  <c r="AZ95" i="15"/>
  <c r="AW95" i="15"/>
  <c r="AU95" i="15"/>
  <c r="AR95" i="15"/>
  <c r="AV95" i="15"/>
  <c r="AS95" i="15"/>
  <c r="AY95" i="15"/>
  <c r="AX95" i="15"/>
  <c r="AY91" i="7"/>
  <c r="AQ91" i="7"/>
  <c r="AE91" i="7"/>
  <c r="Q91" i="7" s="1"/>
  <c r="I96" i="15" s="1"/>
  <c r="K96" i="15" s="1"/>
  <c r="W96" i="15" s="1"/>
  <c r="M90" i="9"/>
  <c r="P90" i="9" s="1"/>
  <c r="F143" i="13" s="1"/>
  <c r="D143" i="13"/>
  <c r="F96" i="15"/>
  <c r="G96" i="15" s="1"/>
  <c r="AQ95" i="15" l="1"/>
  <c r="S95" i="15" s="1"/>
  <c r="U95" i="15" s="1"/>
  <c r="V95" i="15" s="1"/>
  <c r="AO95" i="15" s="1"/>
  <c r="BK96" i="15"/>
  <c r="BF96" i="15"/>
  <c r="BD96" i="15"/>
  <c r="BG96" i="15"/>
  <c r="BC96" i="15"/>
  <c r="BI96" i="15"/>
  <c r="BH96" i="15"/>
  <c r="BJ96" i="15"/>
  <c r="BE96" i="15"/>
  <c r="AU91" i="7"/>
  <c r="BC91" i="7"/>
  <c r="BM96" i="15"/>
  <c r="BN96" i="15" s="1"/>
  <c r="BX96" i="15" s="1"/>
  <c r="BT96" i="15" s="1"/>
  <c r="BO96" i="15" s="1"/>
  <c r="BY96" i="15" s="1"/>
  <c r="BU96" i="15" s="1"/>
  <c r="AN95" i="15" l="1"/>
  <c r="AK95" i="15"/>
  <c r="AL95" i="15"/>
  <c r="AD95" i="15"/>
  <c r="AE95" i="15"/>
  <c r="AH95" i="15"/>
  <c r="AG95" i="15"/>
  <c r="AI95" i="15"/>
  <c r="AF95" i="15"/>
  <c r="AJ95" i="15"/>
  <c r="BB96" i="15"/>
  <c r="L96" i="15" s="1"/>
  <c r="U91" i="7" s="1"/>
  <c r="BP96" i="15"/>
  <c r="AC95" i="15" l="1"/>
  <c r="AA95" i="15" s="1"/>
  <c r="BV96" i="15"/>
  <c r="BW96" i="15"/>
  <c r="BS96" i="15" s="1"/>
  <c r="BR96" i="15" l="1"/>
  <c r="K91" i="7" s="1"/>
  <c r="M91" i="7" s="1"/>
  <c r="N91" i="7" s="1"/>
  <c r="N89" i="9"/>
  <c r="O89" i="9" s="1"/>
  <c r="E142" i="13" s="1"/>
  <c r="J142" i="13" s="1"/>
  <c r="AJ91" i="7" l="1"/>
  <c r="AK91" i="7" s="1"/>
  <c r="AB91" i="7"/>
  <c r="AC91" i="7" s="1"/>
  <c r="L91" i="7"/>
  <c r="T91" i="7" s="1"/>
  <c r="V91" i="7" s="1"/>
  <c r="N96" i="15"/>
  <c r="AR91" i="7"/>
  <c r="AS91" i="7" s="1"/>
  <c r="AZ91" i="7"/>
  <c r="BA91" i="7" s="1"/>
  <c r="Q96" i="15" l="1"/>
  <c r="R96" i="15" s="1"/>
  <c r="O96" i="15"/>
  <c r="AP92" i="7"/>
  <c r="AO92" i="7"/>
  <c r="AT92" i="7" s="1"/>
  <c r="I91" i="7"/>
  <c r="H91" i="7" s="1"/>
  <c r="L90" i="9"/>
  <c r="AW92" i="7"/>
  <c r="BB92" i="7" s="1"/>
  <c r="AX92" i="7"/>
  <c r="W92" i="7"/>
  <c r="S92" i="7"/>
  <c r="F91" i="7"/>
  <c r="G91" i="7"/>
  <c r="Y92" i="7"/>
  <c r="AD92" i="7" s="1"/>
  <c r="Z92" i="7"/>
  <c r="AH92" i="7"/>
  <c r="AG92" i="7"/>
  <c r="AL92" i="7" s="1"/>
  <c r="E91" i="7" l="1"/>
  <c r="L143" i="13" s="1"/>
  <c r="N143" i="13" s="1"/>
  <c r="O143" i="13" s="1"/>
  <c r="AI92" i="7"/>
  <c r="AT96" i="15"/>
  <c r="AY96" i="15"/>
  <c r="AX96" i="15"/>
  <c r="AR96" i="15"/>
  <c r="AZ96" i="15"/>
  <c r="AS96" i="15"/>
  <c r="AV96" i="15"/>
  <c r="AU96" i="15"/>
  <c r="AW96" i="15"/>
  <c r="AY92" i="7"/>
  <c r="AA92" i="7"/>
  <c r="P92" i="7"/>
  <c r="AQ92" i="7"/>
  <c r="AU92" i="7" l="1"/>
  <c r="D144" i="13"/>
  <c r="M91" i="9"/>
  <c r="P91" i="9" s="1"/>
  <c r="F144" i="13" s="1"/>
  <c r="F97" i="15"/>
  <c r="G97" i="15" s="1"/>
  <c r="AE92" i="7"/>
  <c r="Q92" i="7" s="1"/>
  <c r="I97" i="15" s="1"/>
  <c r="K97" i="15" s="1"/>
  <c r="W97" i="15" s="1"/>
  <c r="AQ96" i="15"/>
  <c r="S96" i="15" s="1"/>
  <c r="U96" i="15" s="1"/>
  <c r="V96" i="15" s="1"/>
  <c r="BC92" i="7"/>
  <c r="AM92" i="7"/>
  <c r="AD96" i="15" l="1"/>
  <c r="AE96" i="15"/>
  <c r="AN96" i="15"/>
  <c r="AL96" i="15"/>
  <c r="AH96" i="15"/>
  <c r="AI96" i="15"/>
  <c r="AG96" i="15"/>
  <c r="AK96" i="15"/>
  <c r="AJ96" i="15"/>
  <c r="AO96" i="15"/>
  <c r="AF96" i="15"/>
  <c r="BJ97" i="15"/>
  <c r="BH97" i="15"/>
  <c r="BC97" i="15"/>
  <c r="BK97" i="15"/>
  <c r="BG97" i="15"/>
  <c r="BF97" i="15"/>
  <c r="BE97" i="15"/>
  <c r="BD97" i="15"/>
  <c r="BI97" i="15"/>
  <c r="BM97" i="15"/>
  <c r="BN97" i="15" s="1"/>
  <c r="BX97" i="15" s="1"/>
  <c r="BT97" i="15" s="1"/>
  <c r="BO97" i="15" s="1"/>
  <c r="BY97" i="15" s="1"/>
  <c r="BU97" i="15" s="1"/>
  <c r="BP97" i="15" l="1"/>
  <c r="BB97" i="15"/>
  <c r="L97" i="15" s="1"/>
  <c r="U92" i="7" s="1"/>
  <c r="AC96" i="15"/>
  <c r="AA96" i="15" s="1"/>
  <c r="N90" i="9" l="1"/>
  <c r="O90" i="9" s="1"/>
  <c r="E143" i="13" s="1"/>
  <c r="J143" i="13" s="1"/>
  <c r="BW97" i="15"/>
  <c r="BS97" i="15" s="1"/>
  <c r="BV97" i="15"/>
  <c r="BR97" i="15" l="1"/>
  <c r="K92" i="7" s="1"/>
  <c r="M92" i="7" s="1"/>
  <c r="N92" i="7" s="1"/>
  <c r="AJ92" i="7" l="1"/>
  <c r="AK92" i="7" s="1"/>
  <c r="AB92" i="7"/>
  <c r="AC92" i="7" s="1"/>
  <c r="L92" i="7"/>
  <c r="T92" i="7" s="1"/>
  <c r="V92" i="7" s="1"/>
  <c r="N97" i="15"/>
  <c r="AR92" i="7"/>
  <c r="AS92" i="7" s="1"/>
  <c r="AZ92" i="7"/>
  <c r="BA92" i="7" s="1"/>
  <c r="Q97" i="15" l="1"/>
  <c r="O97" i="15"/>
  <c r="AP93" i="7"/>
  <c r="I92" i="7"/>
  <c r="H92" i="7" s="1"/>
  <c r="AO93" i="7"/>
  <c r="AT93" i="7" s="1"/>
  <c r="AW93" i="7"/>
  <c r="BB93" i="7" s="1"/>
  <c r="AX93" i="7"/>
  <c r="R97" i="15"/>
  <c r="L91" i="9"/>
  <c r="F92" i="7"/>
  <c r="W93" i="7"/>
  <c r="S93" i="7"/>
  <c r="Z93" i="7"/>
  <c r="Y93" i="7"/>
  <c r="AD93" i="7" s="1"/>
  <c r="G92" i="7"/>
  <c r="AG93" i="7"/>
  <c r="AL93" i="7" s="1"/>
  <c r="AH93" i="7"/>
  <c r="E92" i="7" l="1"/>
  <c r="L144" i="13" s="1"/>
  <c r="N144" i="13" s="1"/>
  <c r="O144" i="13" s="1"/>
  <c r="P93" i="7"/>
  <c r="F98" i="15" s="1"/>
  <c r="G98" i="15" s="1"/>
  <c r="AA93" i="7"/>
  <c r="AE93" i="7" s="1"/>
  <c r="Q93" i="7" s="1"/>
  <c r="I98" i="15" s="1"/>
  <c r="K98" i="15" s="1"/>
  <c r="W98" i="15" s="1"/>
  <c r="BH98" i="15" s="1"/>
  <c r="AI93" i="7"/>
  <c r="AM93" i="7" s="1"/>
  <c r="AQ93" i="7"/>
  <c r="AR97" i="15"/>
  <c r="AS97" i="15"/>
  <c r="AZ97" i="15"/>
  <c r="AY97" i="15"/>
  <c r="AT97" i="15"/>
  <c r="AX97" i="15"/>
  <c r="AV97" i="15"/>
  <c r="AU97" i="15"/>
  <c r="AW97" i="15"/>
  <c r="AY93" i="7"/>
  <c r="D145" i="13" l="1"/>
  <c r="M92" i="9"/>
  <c r="P92" i="9" s="1"/>
  <c r="F145" i="13" s="1"/>
  <c r="BF98" i="15"/>
  <c r="BK98" i="15"/>
  <c r="BC98" i="15"/>
  <c r="BI98" i="15"/>
  <c r="BJ98" i="15"/>
  <c r="BG98" i="15"/>
  <c r="BD98" i="15"/>
  <c r="BE98" i="15"/>
  <c r="AU93" i="7"/>
  <c r="BC93" i="7"/>
  <c r="AQ97" i="15"/>
  <c r="S97" i="15" s="1"/>
  <c r="U97" i="15" s="1"/>
  <c r="V97" i="15" s="1"/>
  <c r="BM98" i="15"/>
  <c r="BN98" i="15" s="1"/>
  <c r="BX98" i="15" s="1"/>
  <c r="BT98" i="15" s="1"/>
  <c r="BO98" i="15" s="1"/>
  <c r="BY98" i="15" s="1"/>
  <c r="BU98" i="15" s="1"/>
  <c r="BB98" i="15" l="1"/>
  <c r="L98" i="15" s="1"/>
  <c r="U93" i="7" s="1"/>
  <c r="BP98" i="15"/>
  <c r="AN97" i="15"/>
  <c r="AI97" i="15"/>
  <c r="AO97" i="15"/>
  <c r="AJ97" i="15"/>
  <c r="AG97" i="15"/>
  <c r="AL97" i="15"/>
  <c r="AK97" i="15"/>
  <c r="AE97" i="15"/>
  <c r="AD97" i="15"/>
  <c r="AH97" i="15"/>
  <c r="AF97" i="15"/>
  <c r="AC97" i="15" l="1"/>
  <c r="AA97" i="15" s="1"/>
  <c r="BV98" i="15"/>
  <c r="BW98" i="15"/>
  <c r="BS98" i="15" s="1"/>
  <c r="N91" i="9" l="1"/>
  <c r="O91" i="9" s="1"/>
  <c r="E144" i="13" s="1"/>
  <c r="J144" i="13" s="1"/>
  <c r="BR98" i="15"/>
  <c r="K93" i="7" s="1"/>
  <c r="M93" i="7" s="1"/>
  <c r="N93" i="7" s="1"/>
  <c r="N98" i="15" l="1"/>
  <c r="AR93" i="7"/>
  <c r="AS93" i="7" s="1"/>
  <c r="AZ93" i="7"/>
  <c r="BA93" i="7" s="1"/>
  <c r="AB93" i="7"/>
  <c r="AC93" i="7" s="1"/>
  <c r="AJ93" i="7"/>
  <c r="AK93" i="7" s="1"/>
  <c r="L93" i="7"/>
  <c r="T93" i="7" s="1"/>
  <c r="V93" i="7" s="1"/>
  <c r="Q98" i="15" l="1"/>
  <c r="R98" i="15" s="1"/>
  <c r="O98" i="15"/>
  <c r="W94" i="7"/>
  <c r="S94" i="7"/>
  <c r="F93" i="7"/>
  <c r="AG94" i="7"/>
  <c r="AL94" i="7" s="1"/>
  <c r="AH94" i="7"/>
  <c r="AX94" i="7"/>
  <c r="AW94" i="7"/>
  <c r="BB94" i="7" s="1"/>
  <c r="AP94" i="7"/>
  <c r="I93" i="7"/>
  <c r="H93" i="7" s="1"/>
  <c r="AO94" i="7"/>
  <c r="AT94" i="7" s="1"/>
  <c r="G93" i="7"/>
  <c r="Z94" i="7"/>
  <c r="P94" i="7" s="1"/>
  <c r="Y94" i="7"/>
  <c r="AD94" i="7" s="1"/>
  <c r="L92" i="9"/>
  <c r="AI94" i="7" l="1"/>
  <c r="AM94" i="7" s="1"/>
  <c r="AA94" i="7"/>
  <c r="AE94" i="7" s="1"/>
  <c r="Q94" i="7" s="1"/>
  <c r="I99" i="15" s="1"/>
  <c r="K99" i="15" s="1"/>
  <c r="W99" i="15" s="1"/>
  <c r="AY98" i="15"/>
  <c r="AU98" i="15"/>
  <c r="AR98" i="15"/>
  <c r="AZ98" i="15"/>
  <c r="AV98" i="15"/>
  <c r="AT98" i="15"/>
  <c r="AW98" i="15"/>
  <c r="AX98" i="15"/>
  <c r="AS98" i="15"/>
  <c r="AQ94" i="7"/>
  <c r="E93" i="7"/>
  <c r="L145" i="13" s="1"/>
  <c r="N145" i="13" s="1"/>
  <c r="O145" i="13" s="1"/>
  <c r="D146" i="13"/>
  <c r="F99" i="15"/>
  <c r="G99" i="15" s="1"/>
  <c r="M93" i="9"/>
  <c r="P93" i="9" s="1"/>
  <c r="F146" i="13" s="1"/>
  <c r="AY94" i="7"/>
  <c r="BC94" i="7" l="1"/>
  <c r="BM99" i="15"/>
  <c r="BN99" i="15" s="1"/>
  <c r="BX99" i="15" s="1"/>
  <c r="BT99" i="15" s="1"/>
  <c r="BO99" i="15" s="1"/>
  <c r="BY99" i="15" s="1"/>
  <c r="BU99" i="15" s="1"/>
  <c r="BE99" i="15"/>
  <c r="BH99" i="15"/>
  <c r="BG99" i="15"/>
  <c r="BI99" i="15"/>
  <c r="BJ99" i="15"/>
  <c r="BC99" i="15"/>
  <c r="BF99" i="15"/>
  <c r="BD99" i="15"/>
  <c r="BK99" i="15"/>
  <c r="AQ98" i="15"/>
  <c r="S98" i="15" s="1"/>
  <c r="U98" i="15" s="1"/>
  <c r="V98" i="15" s="1"/>
  <c r="AU94" i="7"/>
  <c r="AE98" i="15" l="1"/>
  <c r="AF98" i="15"/>
  <c r="AO98" i="15"/>
  <c r="AL98" i="15"/>
  <c r="AJ98" i="15"/>
  <c r="AH98" i="15"/>
  <c r="AN98" i="15"/>
  <c r="AI98" i="15"/>
  <c r="AD98" i="15"/>
  <c r="AG98" i="15"/>
  <c r="AK98" i="15"/>
  <c r="BP99" i="15"/>
  <c r="BB99" i="15"/>
  <c r="L99" i="15" s="1"/>
  <c r="U94" i="7" s="1"/>
  <c r="BW99" i="15" l="1"/>
  <c r="BS99" i="15" s="1"/>
  <c r="BV99" i="15"/>
  <c r="AC98" i="15"/>
  <c r="AA98" i="15" s="1"/>
  <c r="N92" i="9" l="1"/>
  <c r="O92" i="9" s="1"/>
  <c r="E145" i="13" s="1"/>
  <c r="J145" i="13" s="1"/>
  <c r="BR99" i="15"/>
  <c r="K94" i="7" s="1"/>
  <c r="M94" i="7" s="1"/>
  <c r="N94" i="7" s="1"/>
  <c r="AB94" i="7" l="1"/>
  <c r="AC94" i="7" s="1"/>
  <c r="AJ94" i="7"/>
  <c r="AK94" i="7" s="1"/>
  <c r="N99" i="15"/>
  <c r="AZ94" i="7"/>
  <c r="BA94" i="7" s="1"/>
  <c r="AR94" i="7"/>
  <c r="AS94" i="7" s="1"/>
  <c r="L94" i="7"/>
  <c r="T94" i="7" s="1"/>
  <c r="V94" i="7" s="1"/>
  <c r="Q99" i="15" l="1"/>
  <c r="R99" i="15" s="1"/>
  <c r="O99" i="15"/>
  <c r="W95" i="7"/>
  <c r="S95" i="7"/>
  <c r="F94" i="7"/>
  <c r="AW95" i="7"/>
  <c r="BB95" i="7" s="1"/>
  <c r="AX95" i="7"/>
  <c r="AO95" i="7"/>
  <c r="AT95" i="7" s="1"/>
  <c r="I94" i="7"/>
  <c r="H94" i="7" s="1"/>
  <c r="AP95" i="7"/>
  <c r="AG95" i="7"/>
  <c r="AL95" i="7" s="1"/>
  <c r="AH95" i="7"/>
  <c r="Z95" i="7"/>
  <c r="P95" i="7" s="1"/>
  <c r="G94" i="7"/>
  <c r="Y95" i="7"/>
  <c r="AD95" i="7" s="1"/>
  <c r="AY95" i="7" l="1"/>
  <c r="L93" i="9"/>
  <c r="BC95" i="7"/>
  <c r="AI95" i="7"/>
  <c r="AQ95" i="7"/>
  <c r="AA95" i="7"/>
  <c r="AY99" i="15"/>
  <c r="AR99" i="15"/>
  <c r="AZ99" i="15"/>
  <c r="AU99" i="15"/>
  <c r="AX99" i="15"/>
  <c r="AS99" i="15"/>
  <c r="AW99" i="15"/>
  <c r="AT99" i="15"/>
  <c r="AV99" i="15"/>
  <c r="E94" i="7"/>
  <c r="L146" i="13" s="1"/>
  <c r="N146" i="13" s="1"/>
  <c r="O146" i="13" s="1"/>
  <c r="M94" i="9"/>
  <c r="P94" i="9" s="1"/>
  <c r="F147" i="13" s="1"/>
  <c r="D147" i="13"/>
  <c r="F100" i="15"/>
  <c r="G100" i="15" s="1"/>
  <c r="BM100" i="15" l="1"/>
  <c r="BN100" i="15" s="1"/>
  <c r="BX100" i="15" s="1"/>
  <c r="BT100" i="15" s="1"/>
  <c r="BO100" i="15" s="1"/>
  <c r="BY100" i="15" s="1"/>
  <c r="BU100" i="15" s="1"/>
  <c r="AQ99" i="15"/>
  <c r="S99" i="15" s="1"/>
  <c r="U99" i="15" s="1"/>
  <c r="V99" i="15" s="1"/>
  <c r="AE95" i="7"/>
  <c r="Q95" i="7" s="1"/>
  <c r="I100" i="15" s="1"/>
  <c r="K100" i="15" s="1"/>
  <c r="W100" i="15" s="1"/>
  <c r="AU95" i="7"/>
  <c r="AM95" i="7"/>
  <c r="BG100" i="15" l="1"/>
  <c r="BD100" i="15"/>
  <c r="BF100" i="15"/>
  <c r="BE100" i="15"/>
  <c r="BI100" i="15"/>
  <c r="BJ100" i="15"/>
  <c r="BH100" i="15"/>
  <c r="BC100" i="15"/>
  <c r="BK100" i="15"/>
  <c r="AD99" i="15"/>
  <c r="AG99" i="15"/>
  <c r="AH99" i="15"/>
  <c r="AO99" i="15"/>
  <c r="AK99" i="15"/>
  <c r="AI99" i="15"/>
  <c r="AN99" i="15"/>
  <c r="AL99" i="15"/>
  <c r="AF99" i="15"/>
  <c r="AJ99" i="15"/>
  <c r="AE99" i="15"/>
  <c r="BP100" i="15"/>
  <c r="BB100" i="15" l="1"/>
  <c r="L100" i="15" s="1"/>
  <c r="U95" i="7" s="1"/>
  <c r="BV100" i="15"/>
  <c r="BW100" i="15"/>
  <c r="BS100" i="15" s="1"/>
  <c r="AC99" i="15"/>
  <c r="AA99" i="15" s="1"/>
  <c r="N93" i="9" l="1"/>
  <c r="O93" i="9" s="1"/>
  <c r="E146" i="13" s="1"/>
  <c r="J146" i="13" s="1"/>
  <c r="BR100" i="15"/>
  <c r="K95" i="7" s="1"/>
  <c r="M95" i="7" s="1"/>
  <c r="N95" i="7" l="1"/>
  <c r="N100" i="15" s="1"/>
  <c r="AZ95" i="7"/>
  <c r="BA95" i="7" s="1"/>
  <c r="AR95" i="7"/>
  <c r="AS95" i="7" s="1"/>
  <c r="AB95" i="7"/>
  <c r="AC95" i="7" s="1"/>
  <c r="AJ95" i="7"/>
  <c r="AK95" i="7" s="1"/>
  <c r="L95" i="7" l="1"/>
  <c r="T95" i="7" s="1"/>
  <c r="V95" i="7" s="1"/>
  <c r="S96" i="7" s="1"/>
  <c r="Q100" i="15"/>
  <c r="O100" i="15"/>
  <c r="F95" i="7"/>
  <c r="AG96" i="7"/>
  <c r="AL96" i="7" s="1"/>
  <c r="AH96" i="7"/>
  <c r="Y96" i="7"/>
  <c r="AD96" i="7" s="1"/>
  <c r="Z96" i="7"/>
  <c r="G95" i="7"/>
  <c r="AW96" i="7"/>
  <c r="BB96" i="7" s="1"/>
  <c r="AX96" i="7"/>
  <c r="AP96" i="7"/>
  <c r="I95" i="7"/>
  <c r="H95" i="7" s="1"/>
  <c r="AO96" i="7"/>
  <c r="AT96" i="7" s="1"/>
  <c r="R100" i="15"/>
  <c r="L94" i="9"/>
  <c r="W96" i="7" l="1"/>
  <c r="P96" i="7"/>
  <c r="M95" i="9" s="1"/>
  <c r="P95" i="9" s="1"/>
  <c r="F148" i="13" s="1"/>
  <c r="AQ96" i="7"/>
  <c r="AU96" i="7" s="1"/>
  <c r="AY96" i="7"/>
  <c r="BC96" i="7" s="1"/>
  <c r="E95" i="7"/>
  <c r="L147" i="13" s="1"/>
  <c r="N147" i="13" s="1"/>
  <c r="O147" i="13" s="1"/>
  <c r="AY100" i="15"/>
  <c r="AR100" i="15"/>
  <c r="AX100" i="15"/>
  <c r="AZ100" i="15"/>
  <c r="AS100" i="15"/>
  <c r="AT100" i="15"/>
  <c r="AU100" i="15"/>
  <c r="AV100" i="15"/>
  <c r="AW100" i="15"/>
  <c r="AI96" i="7"/>
  <c r="AA96" i="7"/>
  <c r="D148" i="13" l="1"/>
  <c r="F101" i="15"/>
  <c r="G101" i="15" s="1"/>
  <c r="BM101" i="15" s="1"/>
  <c r="BN101" i="15" s="1"/>
  <c r="BX101" i="15" s="1"/>
  <c r="BT101" i="15" s="1"/>
  <c r="BO101" i="15" s="1"/>
  <c r="BY101" i="15" s="1"/>
  <c r="BU101" i="15" s="1"/>
  <c r="AE96" i="7"/>
  <c r="Q96" i="7" s="1"/>
  <c r="I101" i="15" s="1"/>
  <c r="K101" i="15" s="1"/>
  <c r="W101" i="15" s="1"/>
  <c r="AM96" i="7"/>
  <c r="AQ100" i="15"/>
  <c r="S100" i="15" s="1"/>
  <c r="U100" i="15" s="1"/>
  <c r="V100" i="15" s="1"/>
  <c r="BP101" i="15" l="1"/>
  <c r="AH100" i="15"/>
  <c r="AL100" i="15"/>
  <c r="AK100" i="15"/>
  <c r="AJ100" i="15"/>
  <c r="AF100" i="15"/>
  <c r="AI100" i="15"/>
  <c r="AD100" i="15"/>
  <c r="AN100" i="15"/>
  <c r="AE100" i="15"/>
  <c r="AO100" i="15"/>
  <c r="AG100" i="15"/>
  <c r="BF101" i="15"/>
  <c r="BE101" i="15"/>
  <c r="BG101" i="15"/>
  <c r="BH101" i="15"/>
  <c r="BJ101" i="15"/>
  <c r="BI101" i="15"/>
  <c r="BK101" i="15"/>
  <c r="BC101" i="15"/>
  <c r="BD101" i="15"/>
  <c r="AC100" i="15" l="1"/>
  <c r="AA100" i="15" s="1"/>
  <c r="BB101" i="15"/>
  <c r="L101" i="15" s="1"/>
  <c r="U96" i="7" s="1"/>
  <c r="BV101" i="15"/>
  <c r="BW101" i="15"/>
  <c r="BS101" i="15" s="1"/>
  <c r="BR101" i="15" l="1"/>
  <c r="K96" i="7" s="1"/>
  <c r="M96" i="7" s="1"/>
  <c r="N96" i="7" s="1"/>
  <c r="N94" i="9"/>
  <c r="O94" i="9" s="1"/>
  <c r="E147" i="13" s="1"/>
  <c r="J147" i="13" s="1"/>
  <c r="N101" i="15" l="1"/>
  <c r="AR96" i="7"/>
  <c r="AS96" i="7" s="1"/>
  <c r="AZ96" i="7"/>
  <c r="BA96" i="7" s="1"/>
  <c r="AB96" i="7"/>
  <c r="AC96" i="7" s="1"/>
  <c r="AJ96" i="7"/>
  <c r="AK96" i="7" s="1"/>
  <c r="L96" i="7"/>
  <c r="T96" i="7" s="1"/>
  <c r="V96" i="7" s="1"/>
  <c r="Q101" i="15" l="1"/>
  <c r="O101" i="15"/>
  <c r="F96" i="7"/>
  <c r="W97" i="7"/>
  <c r="S97" i="7"/>
  <c r="AG97" i="7"/>
  <c r="AL97" i="7" s="1"/>
  <c r="AH97" i="7"/>
  <c r="AW97" i="7"/>
  <c r="BB97" i="7" s="1"/>
  <c r="AX97" i="7"/>
  <c r="I96" i="7"/>
  <c r="H96" i="7" s="1"/>
  <c r="AO97" i="7"/>
  <c r="AT97" i="7" s="1"/>
  <c r="AP97" i="7"/>
  <c r="Y97" i="7"/>
  <c r="AD97" i="7" s="1"/>
  <c r="G96" i="7"/>
  <c r="Z97" i="7"/>
  <c r="P97" i="7" s="1"/>
  <c r="L95" i="9"/>
  <c r="R101" i="15"/>
  <c r="AI97" i="7" l="1"/>
  <c r="AM97" i="7" s="1"/>
  <c r="AQ97" i="7"/>
  <c r="AU97" i="7" s="1"/>
  <c r="AZ101" i="15"/>
  <c r="AX101" i="15"/>
  <c r="AU101" i="15"/>
  <c r="AV101" i="15"/>
  <c r="AR101" i="15"/>
  <c r="AS101" i="15"/>
  <c r="AY101" i="15"/>
  <c r="AW101" i="15"/>
  <c r="AT101" i="15"/>
  <c r="AA97" i="7"/>
  <c r="F102" i="15"/>
  <c r="G102" i="15" s="1"/>
  <c r="D149" i="13"/>
  <c r="M96" i="9"/>
  <c r="P96" i="9" s="1"/>
  <c r="F149" i="13" s="1"/>
  <c r="AY97" i="7"/>
  <c r="E96" i="7"/>
  <c r="L148" i="13" s="1"/>
  <c r="N148" i="13" s="1"/>
  <c r="O148" i="13" s="1"/>
  <c r="BM102" i="15" l="1"/>
  <c r="BN102" i="15" s="1"/>
  <c r="BX102" i="15" s="1"/>
  <c r="BT102" i="15" s="1"/>
  <c r="BO102" i="15" s="1"/>
  <c r="BY102" i="15" s="1"/>
  <c r="BU102" i="15" s="1"/>
  <c r="AQ101" i="15"/>
  <c r="S101" i="15" s="1"/>
  <c r="U101" i="15" s="1"/>
  <c r="V101" i="15" s="1"/>
  <c r="AE97" i="7"/>
  <c r="Q97" i="7" s="1"/>
  <c r="I102" i="15" s="1"/>
  <c r="K102" i="15" s="1"/>
  <c r="W102" i="15" s="1"/>
  <c r="BC97" i="7"/>
  <c r="BJ102" i="15" l="1"/>
  <c r="BC102" i="15"/>
  <c r="BD102" i="15"/>
  <c r="BG102" i="15"/>
  <c r="BK102" i="15"/>
  <c r="BF102" i="15"/>
  <c r="BI102" i="15"/>
  <c r="BE102" i="15"/>
  <c r="BH102" i="15"/>
  <c r="AD101" i="15"/>
  <c r="AL101" i="15"/>
  <c r="AH101" i="15"/>
  <c r="AE101" i="15"/>
  <c r="AG101" i="15"/>
  <c r="AF101" i="15"/>
  <c r="AO101" i="15"/>
  <c r="AN101" i="15"/>
  <c r="AJ101" i="15"/>
  <c r="AK101" i="15"/>
  <c r="AI101" i="15"/>
  <c r="BP102" i="15"/>
  <c r="BV102" i="15" l="1"/>
  <c r="BW102" i="15"/>
  <c r="BS102" i="15" s="1"/>
  <c r="AC101" i="15"/>
  <c r="AA101" i="15" s="1"/>
  <c r="BB102" i="15"/>
  <c r="L102" i="15" s="1"/>
  <c r="U97" i="7" s="1"/>
  <c r="N95" i="9" l="1"/>
  <c r="O95" i="9" s="1"/>
  <c r="E148" i="13" s="1"/>
  <c r="J148" i="13" s="1"/>
  <c r="BR102" i="15"/>
  <c r="K97" i="7" s="1"/>
  <c r="M97" i="7" s="1"/>
  <c r="N97" i="7" s="1"/>
  <c r="AJ97" i="7" l="1"/>
  <c r="AK97" i="7" s="1"/>
  <c r="AB97" i="7"/>
  <c r="AC97" i="7" s="1"/>
  <c r="N102" i="15"/>
  <c r="AR97" i="7"/>
  <c r="AS97" i="7" s="1"/>
  <c r="AZ97" i="7"/>
  <c r="BA97" i="7" s="1"/>
  <c r="L97" i="7"/>
  <c r="T97" i="7" s="1"/>
  <c r="V97" i="7" s="1"/>
  <c r="Q102" i="15" l="1"/>
  <c r="R102" i="15" s="1"/>
  <c r="O102" i="15"/>
  <c r="S98" i="7"/>
  <c r="F97" i="7"/>
  <c r="W98" i="7"/>
  <c r="AP98" i="7"/>
  <c r="I97" i="7"/>
  <c r="H97" i="7" s="1"/>
  <c r="AO98" i="7"/>
  <c r="AT98" i="7" s="1"/>
  <c r="AW98" i="7"/>
  <c r="BB98" i="7" s="1"/>
  <c r="AX98" i="7"/>
  <c r="L96" i="9"/>
  <c r="Z98" i="7"/>
  <c r="P98" i="7" s="1"/>
  <c r="Y98" i="7"/>
  <c r="AD98" i="7" s="1"/>
  <c r="G97" i="7"/>
  <c r="AH98" i="7"/>
  <c r="AG98" i="7"/>
  <c r="AL98" i="7" s="1"/>
  <c r="AA98" i="7" l="1"/>
  <c r="AE98" i="7" s="1"/>
  <c r="E97" i="7"/>
  <c r="L149" i="13" s="1"/>
  <c r="N149" i="13" s="1"/>
  <c r="O149" i="13" s="1"/>
  <c r="AY98" i="7"/>
  <c r="BC98" i="7" s="1"/>
  <c r="F103" i="15"/>
  <c r="G103" i="15" s="1"/>
  <c r="D150" i="13"/>
  <c r="M97" i="9"/>
  <c r="P97" i="9" s="1"/>
  <c r="F150" i="13" s="1"/>
  <c r="AI98" i="7"/>
  <c r="AU102" i="15"/>
  <c r="AW102" i="15"/>
  <c r="AZ102" i="15"/>
  <c r="AV102" i="15"/>
  <c r="AX102" i="15"/>
  <c r="AY102" i="15"/>
  <c r="AT102" i="15"/>
  <c r="AS102" i="15"/>
  <c r="AR102" i="15"/>
  <c r="AQ98" i="7"/>
  <c r="AQ102" i="15" l="1"/>
  <c r="S102" i="15" s="1"/>
  <c r="U102" i="15" s="1"/>
  <c r="V102" i="15" s="1"/>
  <c r="AU98" i="7"/>
  <c r="AM98" i="7"/>
  <c r="Q98" i="7" s="1"/>
  <c r="I103" i="15" s="1"/>
  <c r="K103" i="15" s="1"/>
  <c r="W103" i="15" s="1"/>
  <c r="BM103" i="15"/>
  <c r="BN103" i="15" s="1"/>
  <c r="BX103" i="15" s="1"/>
  <c r="BT103" i="15" s="1"/>
  <c r="BO103" i="15" s="1"/>
  <c r="BY103" i="15" s="1"/>
  <c r="BU103" i="15" s="1"/>
  <c r="BP103" i="15" l="1"/>
  <c r="BG103" i="15"/>
  <c r="BI103" i="15"/>
  <c r="BK103" i="15"/>
  <c r="BC103" i="15"/>
  <c r="BH103" i="15"/>
  <c r="BE103" i="15"/>
  <c r="BJ103" i="15"/>
  <c r="BD103" i="15"/>
  <c r="BF103" i="15"/>
  <c r="AJ102" i="15"/>
  <c r="AE102" i="15"/>
  <c r="AG102" i="15"/>
  <c r="AK102" i="15"/>
  <c r="AH102" i="15"/>
  <c r="AD102" i="15"/>
  <c r="AO102" i="15"/>
  <c r="AF102" i="15"/>
  <c r="AI102" i="15"/>
  <c r="AN102" i="15"/>
  <c r="AL102" i="15"/>
  <c r="AC102" i="15" l="1"/>
  <c r="AA102" i="15" s="1"/>
  <c r="BB103" i="15"/>
  <c r="L103" i="15" s="1"/>
  <c r="U98" i="7" s="1"/>
  <c r="BW103" i="15"/>
  <c r="BS103" i="15" s="1"/>
  <c r="BV103" i="15"/>
  <c r="N96" i="9" l="1"/>
  <c r="O96" i="9" s="1"/>
  <c r="E149" i="13" s="1"/>
  <c r="J149" i="13" s="1"/>
  <c r="BR103" i="15"/>
  <c r="K98" i="7" s="1"/>
  <c r="M98" i="7" s="1"/>
  <c r="N98" i="7" s="1"/>
  <c r="N103" i="15" l="1"/>
  <c r="AZ98" i="7"/>
  <c r="BA98" i="7" s="1"/>
  <c r="AR98" i="7"/>
  <c r="AS98" i="7" s="1"/>
  <c r="AB98" i="7"/>
  <c r="AC98" i="7" s="1"/>
  <c r="AJ98" i="7"/>
  <c r="AK98" i="7" s="1"/>
  <c r="L98" i="7"/>
  <c r="T98" i="7" s="1"/>
  <c r="V98" i="7" s="1"/>
  <c r="Q103" i="15" l="1"/>
  <c r="O103" i="15"/>
  <c r="F98" i="7"/>
  <c r="W99" i="7"/>
  <c r="S99" i="7"/>
  <c r="AH99" i="7"/>
  <c r="AG99" i="7"/>
  <c r="AL99" i="7" s="1"/>
  <c r="I98" i="7"/>
  <c r="H98" i="7" s="1"/>
  <c r="AO99" i="7"/>
  <c r="AT99" i="7" s="1"/>
  <c r="AP99" i="7"/>
  <c r="AW99" i="7"/>
  <c r="BB99" i="7" s="1"/>
  <c r="AX99" i="7"/>
  <c r="G98" i="7"/>
  <c r="Z99" i="7"/>
  <c r="P99" i="7" s="1"/>
  <c r="Y99" i="7"/>
  <c r="AD99" i="7" s="1"/>
  <c r="R103" i="15"/>
  <c r="L97" i="9"/>
  <c r="AI99" i="7" l="1"/>
  <c r="AM99" i="7" s="1"/>
  <c r="AY99" i="7"/>
  <c r="BC99" i="7" s="1"/>
  <c r="AA99" i="7"/>
  <c r="AE99" i="7" s="1"/>
  <c r="AS103" i="15"/>
  <c r="AW103" i="15"/>
  <c r="AT103" i="15"/>
  <c r="AY103" i="15"/>
  <c r="AX103" i="15"/>
  <c r="AU103" i="15"/>
  <c r="AR103" i="15"/>
  <c r="AV103" i="15"/>
  <c r="AZ103" i="15"/>
  <c r="AQ99" i="7"/>
  <c r="M98" i="9"/>
  <c r="P98" i="9" s="1"/>
  <c r="F151" i="13" s="1"/>
  <c r="D151" i="13"/>
  <c r="F104" i="15"/>
  <c r="G104" i="15" s="1"/>
  <c r="E98" i="7"/>
  <c r="L150" i="13" s="1"/>
  <c r="N150" i="13" s="1"/>
  <c r="O150" i="13" s="1"/>
  <c r="Q99" i="7" l="1"/>
  <c r="I104" i="15" s="1"/>
  <c r="K104" i="15" s="1"/>
  <c r="W104" i="15" s="1"/>
  <c r="BH104" i="15" s="1"/>
  <c r="AQ103" i="15"/>
  <c r="S103" i="15" s="1"/>
  <c r="U103" i="15" s="1"/>
  <c r="V103" i="15" s="1"/>
  <c r="AG103" i="15" s="1"/>
  <c r="BM104" i="15"/>
  <c r="BN104" i="15" s="1"/>
  <c r="BX104" i="15" s="1"/>
  <c r="BT104" i="15" s="1"/>
  <c r="BO104" i="15" s="1"/>
  <c r="BY104" i="15" s="1"/>
  <c r="BU104" i="15" s="1"/>
  <c r="AU99" i="7"/>
  <c r="BJ104" i="15" l="1"/>
  <c r="BF104" i="15"/>
  <c r="BD104" i="15"/>
  <c r="BI104" i="15"/>
  <c r="BK104" i="15"/>
  <c r="BE104" i="15"/>
  <c r="BG104" i="15"/>
  <c r="BC104" i="15"/>
  <c r="AE103" i="15"/>
  <c r="AL103" i="15"/>
  <c r="AI103" i="15"/>
  <c r="AD103" i="15"/>
  <c r="AN103" i="15"/>
  <c r="AK103" i="15"/>
  <c r="AO103" i="15"/>
  <c r="AJ103" i="15"/>
  <c r="AF103" i="15"/>
  <c r="AH103" i="15"/>
  <c r="BP104" i="15"/>
  <c r="BB104" i="15" l="1"/>
  <c r="L104" i="15" s="1"/>
  <c r="U99" i="7" s="1"/>
  <c r="AC103" i="15"/>
  <c r="AA103" i="15" s="1"/>
  <c r="BW104" i="15"/>
  <c r="BS104" i="15" s="1"/>
  <c r="BV104" i="15"/>
  <c r="N97" i="9" l="1"/>
  <c r="O97" i="9" s="1"/>
  <c r="E150" i="13" s="1"/>
  <c r="J150" i="13" s="1"/>
  <c r="BR104" i="15"/>
  <c r="K99" i="7" s="1"/>
  <c r="M99" i="7" s="1"/>
  <c r="N99" i="7" s="1"/>
  <c r="AJ99" i="7" l="1"/>
  <c r="AK99" i="7" s="1"/>
  <c r="AB99" i="7"/>
  <c r="AC99" i="7" s="1"/>
  <c r="N104" i="15"/>
  <c r="AZ99" i="7"/>
  <c r="BA99" i="7" s="1"/>
  <c r="AR99" i="7"/>
  <c r="AS99" i="7" s="1"/>
  <c r="L99" i="7"/>
  <c r="T99" i="7" s="1"/>
  <c r="V99" i="7" s="1"/>
  <c r="Q104" i="15" l="1"/>
  <c r="O104" i="15"/>
  <c r="W100" i="7"/>
  <c r="S100" i="7"/>
  <c r="F99" i="7"/>
  <c r="AW100" i="7"/>
  <c r="BB100" i="7" s="1"/>
  <c r="AX100" i="7"/>
  <c r="I99" i="7"/>
  <c r="H99" i="7" s="1"/>
  <c r="AO100" i="7"/>
  <c r="AT100" i="7" s="1"/>
  <c r="AP100" i="7"/>
  <c r="R104" i="15"/>
  <c r="L98" i="9"/>
  <c r="Z100" i="7"/>
  <c r="P100" i="7" s="1"/>
  <c r="Y100" i="7"/>
  <c r="AD100" i="7" s="1"/>
  <c r="G99" i="7"/>
  <c r="AG100" i="7"/>
  <c r="AL100" i="7" s="1"/>
  <c r="AH100" i="7"/>
  <c r="AY100" i="7" l="1"/>
  <c r="BC100" i="7" s="1"/>
  <c r="AI100" i="7"/>
  <c r="AM100" i="7" s="1"/>
  <c r="F105" i="15"/>
  <c r="G105" i="15" s="1"/>
  <c r="M99" i="9"/>
  <c r="P99" i="9" s="1"/>
  <c r="F152" i="13" s="1"/>
  <c r="D152" i="13"/>
  <c r="AX104" i="15"/>
  <c r="AS104" i="15"/>
  <c r="AR104" i="15"/>
  <c r="AT104" i="15"/>
  <c r="AZ104" i="15"/>
  <c r="AU104" i="15"/>
  <c r="AV104" i="15"/>
  <c r="AW104" i="15"/>
  <c r="AY104" i="15"/>
  <c r="E99" i="7"/>
  <c r="L151" i="13" s="1"/>
  <c r="N151" i="13" s="1"/>
  <c r="O151" i="13" s="1"/>
  <c r="AQ100" i="7"/>
  <c r="AA100" i="7"/>
  <c r="AE100" i="7" l="1"/>
  <c r="Q100" i="7" s="1"/>
  <c r="I105" i="15" s="1"/>
  <c r="K105" i="15" s="1"/>
  <c r="W105" i="15" s="1"/>
  <c r="AU100" i="7"/>
  <c r="AQ104" i="15"/>
  <c r="S104" i="15" s="1"/>
  <c r="U104" i="15" s="1"/>
  <c r="V104" i="15" s="1"/>
  <c r="BM105" i="15"/>
  <c r="BN105" i="15" s="1"/>
  <c r="BX105" i="15" s="1"/>
  <c r="BT105" i="15" s="1"/>
  <c r="BO105" i="15" s="1"/>
  <c r="BY105" i="15" s="1"/>
  <c r="BU105" i="15" s="1"/>
  <c r="BP105" i="15" l="1"/>
  <c r="AK104" i="15"/>
  <c r="AL104" i="15"/>
  <c r="AJ104" i="15"/>
  <c r="AO104" i="15"/>
  <c r="AF104" i="15"/>
  <c r="AD104" i="15"/>
  <c r="AG104" i="15"/>
  <c r="AH104" i="15"/>
  <c r="AI104" i="15"/>
  <c r="AE104" i="15"/>
  <c r="AN104" i="15"/>
  <c r="BD105" i="15"/>
  <c r="BG105" i="15"/>
  <c r="BF105" i="15"/>
  <c r="BI105" i="15"/>
  <c r="BH105" i="15"/>
  <c r="BK105" i="15"/>
  <c r="BC105" i="15"/>
  <c r="BJ105" i="15"/>
  <c r="BE105" i="15"/>
  <c r="AC104" i="15" l="1"/>
  <c r="AA104" i="15" s="1"/>
  <c r="BB105" i="15"/>
  <c r="L105" i="15" s="1"/>
  <c r="U100" i="7" s="1"/>
  <c r="BW105" i="15"/>
  <c r="BS105" i="15" s="1"/>
  <c r="BV105" i="15"/>
  <c r="N98" i="9" l="1"/>
  <c r="O98" i="9" s="1"/>
  <c r="E151" i="13" s="1"/>
  <c r="J151" i="13" s="1"/>
  <c r="BR105" i="15"/>
  <c r="K100" i="7" s="1"/>
  <c r="M100" i="7" s="1"/>
  <c r="N100" i="7" s="1"/>
  <c r="AJ100" i="7" l="1"/>
  <c r="AK100" i="7" s="1"/>
  <c r="AB100" i="7"/>
  <c r="AC100" i="7" s="1"/>
  <c r="N105" i="15"/>
  <c r="AZ100" i="7"/>
  <c r="BA100" i="7" s="1"/>
  <c r="AR100" i="7"/>
  <c r="AS100" i="7" s="1"/>
  <c r="L100" i="7"/>
  <c r="T100" i="7" s="1"/>
  <c r="V100" i="7" s="1"/>
  <c r="Q105" i="15" l="1"/>
  <c r="O105" i="15"/>
  <c r="W101" i="7"/>
  <c r="S101" i="7"/>
  <c r="F100" i="7"/>
  <c r="AX101" i="7"/>
  <c r="AW101" i="7"/>
  <c r="BB101" i="7" s="1"/>
  <c r="AO101" i="7"/>
  <c r="AT101" i="7" s="1"/>
  <c r="AP101" i="7"/>
  <c r="I100" i="7"/>
  <c r="H100" i="7" s="1"/>
  <c r="L99" i="9"/>
  <c r="R105" i="15"/>
  <c r="Y101" i="7"/>
  <c r="AD101" i="7" s="1"/>
  <c r="Z101" i="7"/>
  <c r="P101" i="7" s="1"/>
  <c r="G100" i="7"/>
  <c r="AG101" i="7"/>
  <c r="AL101" i="7" s="1"/>
  <c r="AH101" i="7"/>
  <c r="AA101" i="7" l="1"/>
  <c r="AE101" i="7" s="1"/>
  <c r="AY101" i="7"/>
  <c r="BC101" i="7" s="1"/>
  <c r="AI101" i="7"/>
  <c r="AM101" i="7" s="1"/>
  <c r="D153" i="13"/>
  <c r="F106" i="15"/>
  <c r="G106" i="15" s="1"/>
  <c r="M100" i="9"/>
  <c r="P100" i="9" s="1"/>
  <c r="F153" i="13" s="1"/>
  <c r="AV105" i="15"/>
  <c r="AW105" i="15"/>
  <c r="AZ105" i="15"/>
  <c r="AS105" i="15"/>
  <c r="AT105" i="15"/>
  <c r="AX105" i="15"/>
  <c r="AY105" i="15"/>
  <c r="AR105" i="15"/>
  <c r="AU105" i="15"/>
  <c r="E100" i="7"/>
  <c r="L152" i="13" s="1"/>
  <c r="N152" i="13" s="1"/>
  <c r="O152" i="13" s="1"/>
  <c r="AQ101" i="7"/>
  <c r="Q101" i="7" l="1"/>
  <c r="I106" i="15" s="1"/>
  <c r="K106" i="15" s="1"/>
  <c r="W106" i="15" s="1"/>
  <c r="BE106" i="15" s="1"/>
  <c r="AU101" i="7"/>
  <c r="AQ105" i="15"/>
  <c r="S105" i="15" s="1"/>
  <c r="U105" i="15" s="1"/>
  <c r="V105" i="15" s="1"/>
  <c r="BM106" i="15"/>
  <c r="BN106" i="15" s="1"/>
  <c r="BX106" i="15" s="1"/>
  <c r="BT106" i="15" s="1"/>
  <c r="BO106" i="15" s="1"/>
  <c r="BY106" i="15" s="1"/>
  <c r="BU106" i="15" s="1"/>
  <c r="BK106" i="15" l="1"/>
  <c r="BC106" i="15"/>
  <c r="BG106" i="15"/>
  <c r="BJ106" i="15"/>
  <c r="BD106" i="15"/>
  <c r="BI106" i="15"/>
  <c r="BH106" i="15"/>
  <c r="BF106" i="15"/>
  <c r="BP106" i="15"/>
  <c r="AE105" i="15"/>
  <c r="AL105" i="15"/>
  <c r="AD105" i="15"/>
  <c r="AH105" i="15"/>
  <c r="AO105" i="15"/>
  <c r="AI105" i="15"/>
  <c r="AJ105" i="15"/>
  <c r="AF105" i="15"/>
  <c r="AG105" i="15"/>
  <c r="AK105" i="15"/>
  <c r="AN105" i="15"/>
  <c r="BB106" i="15" l="1"/>
  <c r="L106" i="15" s="1"/>
  <c r="U101" i="7" s="1"/>
  <c r="AC105" i="15"/>
  <c r="AA105" i="15" s="1"/>
  <c r="BW106" i="15"/>
  <c r="BS106" i="15" s="1"/>
  <c r="BV106" i="15"/>
  <c r="N99" i="9" l="1"/>
  <c r="O99" i="9" s="1"/>
  <c r="E152" i="13" s="1"/>
  <c r="J152" i="13" s="1"/>
  <c r="BR106" i="15"/>
  <c r="K101" i="7" s="1"/>
  <c r="M101" i="7" s="1"/>
  <c r="N101" i="7" s="1"/>
  <c r="AJ101" i="7" l="1"/>
  <c r="AK101" i="7" s="1"/>
  <c r="AB101" i="7"/>
  <c r="AC101" i="7" s="1"/>
  <c r="N106" i="15"/>
  <c r="AZ101" i="7"/>
  <c r="BA101" i="7" s="1"/>
  <c r="AR101" i="7"/>
  <c r="AS101" i="7" s="1"/>
  <c r="L101" i="7"/>
  <c r="T101" i="7" s="1"/>
  <c r="V101" i="7" s="1"/>
  <c r="Q106" i="15" l="1"/>
  <c r="O106" i="15"/>
  <c r="F101" i="7"/>
  <c r="W102" i="7"/>
  <c r="S102" i="7"/>
  <c r="AW102" i="7"/>
  <c r="BB102" i="7" s="1"/>
  <c r="AX102" i="7"/>
  <c r="AO102" i="7"/>
  <c r="AT102" i="7" s="1"/>
  <c r="AP102" i="7"/>
  <c r="I101" i="7"/>
  <c r="H101" i="7" s="1"/>
  <c r="L100" i="9"/>
  <c r="R106" i="15"/>
  <c r="Z102" i="7"/>
  <c r="P102" i="7" s="1"/>
  <c r="Y102" i="7"/>
  <c r="AD102" i="7" s="1"/>
  <c r="G101" i="7"/>
  <c r="AG102" i="7"/>
  <c r="AL102" i="7" s="1"/>
  <c r="AH102" i="7"/>
  <c r="AI102" i="7" l="1"/>
  <c r="AM102" i="7" s="1"/>
  <c r="D154" i="13"/>
  <c r="F107" i="15"/>
  <c r="G107" i="15" s="1"/>
  <c r="M101" i="9"/>
  <c r="P101" i="9" s="1"/>
  <c r="F154" i="13" s="1"/>
  <c r="AR106" i="15"/>
  <c r="AV106" i="15"/>
  <c r="AS106" i="15"/>
  <c r="AT106" i="15"/>
  <c r="AY106" i="15"/>
  <c r="AX106" i="15"/>
  <c r="AW106" i="15"/>
  <c r="AZ106" i="15"/>
  <c r="AU106" i="15"/>
  <c r="AY102" i="7"/>
  <c r="AA102" i="7"/>
  <c r="AQ102" i="7"/>
  <c r="E101" i="7"/>
  <c r="L153" i="13" s="1"/>
  <c r="N153" i="13" s="1"/>
  <c r="O153" i="13" s="1"/>
  <c r="AU102" i="7" l="1"/>
  <c r="AE102" i="7"/>
  <c r="Q102" i="7" s="1"/>
  <c r="I107" i="15" s="1"/>
  <c r="K107" i="15" s="1"/>
  <c r="W107" i="15" s="1"/>
  <c r="BC102" i="7"/>
  <c r="AQ106" i="15"/>
  <c r="S106" i="15" s="1"/>
  <c r="U106" i="15" s="1"/>
  <c r="V106" i="15" s="1"/>
  <c r="BM107" i="15"/>
  <c r="BN107" i="15" s="1"/>
  <c r="BX107" i="15" s="1"/>
  <c r="BT107" i="15" s="1"/>
  <c r="BO107" i="15" s="1"/>
  <c r="BY107" i="15" s="1"/>
  <c r="BU107" i="15" s="1"/>
  <c r="AF106" i="15" l="1"/>
  <c r="AK106" i="15"/>
  <c r="AE106" i="15"/>
  <c r="AI106" i="15"/>
  <c r="AG106" i="15"/>
  <c r="AJ106" i="15"/>
  <c r="AD106" i="15"/>
  <c r="AN106" i="15"/>
  <c r="AO106" i="15"/>
  <c r="AL106" i="15"/>
  <c r="AH106" i="15"/>
  <c r="BJ107" i="15"/>
  <c r="BE107" i="15"/>
  <c r="BG107" i="15"/>
  <c r="BH107" i="15"/>
  <c r="BF107" i="15"/>
  <c r="BC107" i="15"/>
  <c r="BK107" i="15"/>
  <c r="BI107" i="15"/>
  <c r="BD107" i="15"/>
  <c r="BP107" i="15"/>
  <c r="AC106" i="15" l="1"/>
  <c r="AA106" i="15" s="1"/>
  <c r="BV107" i="15"/>
  <c r="BW107" i="15"/>
  <c r="BS107" i="15" s="1"/>
  <c r="BR107" i="15" s="1"/>
  <c r="K102" i="7" s="1"/>
  <c r="BB107" i="15"/>
  <c r="L107" i="15" s="1"/>
  <c r="U102" i="7" s="1"/>
  <c r="N100" i="9" l="1"/>
  <c r="O100" i="9" s="1"/>
  <c r="E153" i="13" s="1"/>
  <c r="J153" i="13" s="1"/>
  <c r="M102" i="7"/>
  <c r="N102" i="7" l="1"/>
  <c r="AJ102" i="7"/>
  <c r="AK102" i="7" s="1"/>
  <c r="AB102" i="7"/>
  <c r="AC102" i="7" s="1"/>
  <c r="Y103" i="7" l="1"/>
  <c r="AD103" i="7" s="1"/>
  <c r="G102" i="7"/>
  <c r="Z103" i="7"/>
  <c r="AH103" i="7"/>
  <c r="AG103" i="7"/>
  <c r="AL103" i="7" s="1"/>
  <c r="N107" i="15"/>
  <c r="AR102" i="7"/>
  <c r="AS102" i="7" s="1"/>
  <c r="AZ102" i="7"/>
  <c r="BA102" i="7" s="1"/>
  <c r="L102" i="7"/>
  <c r="T102" i="7" s="1"/>
  <c r="V102" i="7" s="1"/>
  <c r="Q107" i="15" l="1"/>
  <c r="O107" i="15"/>
  <c r="AA103" i="7"/>
  <c r="AE103" i="7" s="1"/>
  <c r="L101" i="9"/>
  <c r="R107" i="15"/>
  <c r="AW103" i="7"/>
  <c r="BB103" i="7" s="1"/>
  <c r="AX103" i="7"/>
  <c r="F102" i="7"/>
  <c r="W103" i="7"/>
  <c r="S103" i="7"/>
  <c r="P103" i="7"/>
  <c r="I102" i="7"/>
  <c r="H102" i="7" s="1"/>
  <c r="AO103" i="7"/>
  <c r="AT103" i="7" s="1"/>
  <c r="AP103" i="7"/>
  <c r="AI103" i="7"/>
  <c r="AQ103" i="7" l="1"/>
  <c r="AU103" i="7" s="1"/>
  <c r="AY103" i="7"/>
  <c r="BC103" i="7" s="1"/>
  <c r="AM103" i="7"/>
  <c r="Q103" i="7" s="1"/>
  <c r="I108" i="15" s="1"/>
  <c r="K108" i="15" s="1"/>
  <c r="W108" i="15" s="1"/>
  <c r="E102" i="7"/>
  <c r="L154" i="13" s="1"/>
  <c r="N154" i="13" s="1"/>
  <c r="O154" i="13" s="1"/>
  <c r="AT107" i="15"/>
  <c r="AY107" i="15"/>
  <c r="AU107" i="15"/>
  <c r="AW107" i="15"/>
  <c r="AR107" i="15"/>
  <c r="AS107" i="15"/>
  <c r="AZ107" i="15"/>
  <c r="AV107" i="15"/>
  <c r="AX107" i="15"/>
  <c r="D155" i="13"/>
  <c r="F108" i="15"/>
  <c r="G108" i="15" s="1"/>
  <c r="M102" i="9"/>
  <c r="P102" i="9" s="1"/>
  <c r="F155" i="13" s="1"/>
  <c r="AQ107" i="15" l="1"/>
  <c r="S107" i="15" s="1"/>
  <c r="U107" i="15" s="1"/>
  <c r="V107" i="15" s="1"/>
  <c r="AH107" i="15" s="1"/>
  <c r="BM108" i="15"/>
  <c r="BN108" i="15" s="1"/>
  <c r="BX108" i="15" s="1"/>
  <c r="BT108" i="15" s="1"/>
  <c r="BO108" i="15" s="1"/>
  <c r="BY108" i="15" s="1"/>
  <c r="BU108" i="15" s="1"/>
  <c r="BC108" i="15"/>
  <c r="BJ108" i="15"/>
  <c r="BF108" i="15"/>
  <c r="BG108" i="15"/>
  <c r="BE108" i="15"/>
  <c r="BD108" i="15"/>
  <c r="BI108" i="15"/>
  <c r="BK108" i="15"/>
  <c r="BH108" i="15"/>
  <c r="AG107" i="15" l="1"/>
  <c r="AN107" i="15"/>
  <c r="AL107" i="15"/>
  <c r="AF107" i="15"/>
  <c r="AD107" i="15"/>
  <c r="AE107" i="15"/>
  <c r="AJ107" i="15"/>
  <c r="AO107" i="15"/>
  <c r="AI107" i="15"/>
  <c r="AK107" i="15"/>
  <c r="BB108" i="15"/>
  <c r="L108" i="15" s="1"/>
  <c r="U103" i="7" s="1"/>
  <c r="BP108" i="15"/>
  <c r="AC107" i="15" l="1"/>
  <c r="AA107" i="15" s="1"/>
  <c r="BW108" i="15"/>
  <c r="BS108" i="15" s="1"/>
  <c r="BV108" i="15"/>
  <c r="N101" i="9" l="1"/>
  <c r="O101" i="9" s="1"/>
  <c r="E154" i="13" s="1"/>
  <c r="J154" i="13" s="1"/>
  <c r="BR108" i="15"/>
  <c r="K103" i="7" s="1"/>
  <c r="M103" i="7" s="1"/>
  <c r="N103" i="7" s="1"/>
  <c r="L103" i="7" l="1"/>
  <c r="T103" i="7" s="1"/>
  <c r="V103" i="7" s="1"/>
  <c r="N108" i="15"/>
  <c r="AR103" i="7"/>
  <c r="AS103" i="7" s="1"/>
  <c r="AZ103" i="7"/>
  <c r="BA103" i="7" s="1"/>
  <c r="AB103" i="7"/>
  <c r="AC103" i="7" s="1"/>
  <c r="AJ103" i="7"/>
  <c r="AK103" i="7" s="1"/>
  <c r="Q108" i="15" l="1"/>
  <c r="O108" i="15"/>
  <c r="AG104" i="7"/>
  <c r="AL104" i="7" s="1"/>
  <c r="AH104" i="7"/>
  <c r="G103" i="7"/>
  <c r="Y104" i="7"/>
  <c r="AD104" i="7" s="1"/>
  <c r="Z104" i="7"/>
  <c r="AO104" i="7"/>
  <c r="AT104" i="7" s="1"/>
  <c r="I103" i="7"/>
  <c r="H103" i="7" s="1"/>
  <c r="E103" i="7" s="1"/>
  <c r="L155" i="13" s="1"/>
  <c r="N155" i="13" s="1"/>
  <c r="O155" i="13" s="1"/>
  <c r="AP104" i="7"/>
  <c r="AX104" i="7"/>
  <c r="AW104" i="7"/>
  <c r="BB104" i="7" s="1"/>
  <c r="L102" i="9"/>
  <c r="R108" i="15"/>
  <c r="W104" i="7"/>
  <c r="F103" i="7"/>
  <c r="S104" i="7"/>
  <c r="AY104" i="7" l="1"/>
  <c r="BC104" i="7" s="1"/>
  <c r="AA104" i="7"/>
  <c r="AE104" i="7" s="1"/>
  <c r="AQ104" i="7"/>
  <c r="AU104" i="7" s="1"/>
  <c r="P104" i="7"/>
  <c r="AU108" i="15"/>
  <c r="AT108" i="15"/>
  <c r="AV108" i="15"/>
  <c r="AZ108" i="15"/>
  <c r="AW108" i="15"/>
  <c r="AX108" i="15"/>
  <c r="AY108" i="15"/>
  <c r="AR108" i="15"/>
  <c r="AS108" i="15"/>
  <c r="AI104" i="7"/>
  <c r="AM104" i="7" l="1"/>
  <c r="Q104" i="7" s="1"/>
  <c r="I109" i="15" s="1"/>
  <c r="K109" i="15" s="1"/>
  <c r="W109" i="15" s="1"/>
  <c r="AQ108" i="15"/>
  <c r="S108" i="15" s="1"/>
  <c r="U108" i="15" s="1"/>
  <c r="V108" i="15" s="1"/>
  <c r="M103" i="9"/>
  <c r="P103" i="9" s="1"/>
  <c r="F156" i="13" s="1"/>
  <c r="F109" i="15"/>
  <c r="G109" i="15" s="1"/>
  <c r="D156" i="13"/>
  <c r="BM109" i="15" l="1"/>
  <c r="BN109" i="15" s="1"/>
  <c r="BX109" i="15" s="1"/>
  <c r="BT109" i="15" s="1"/>
  <c r="BO109" i="15" s="1"/>
  <c r="BY109" i="15" s="1"/>
  <c r="BU109" i="15" s="1"/>
  <c r="AH108" i="15"/>
  <c r="AF108" i="15"/>
  <c r="AD108" i="15"/>
  <c r="AI108" i="15"/>
  <c r="AO108" i="15"/>
  <c r="AG108" i="15"/>
  <c r="AL108" i="15"/>
  <c r="AN108" i="15"/>
  <c r="AJ108" i="15"/>
  <c r="AE108" i="15"/>
  <c r="AK108" i="15"/>
  <c r="BD109" i="15"/>
  <c r="BH109" i="15"/>
  <c r="BC109" i="15"/>
  <c r="BF109" i="15"/>
  <c r="BE109" i="15"/>
  <c r="BG109" i="15"/>
  <c r="BI109" i="15"/>
  <c r="BJ109" i="15"/>
  <c r="BK109" i="15"/>
  <c r="BB109" i="15" l="1"/>
  <c r="L109" i="15" s="1"/>
  <c r="U104" i="7" s="1"/>
  <c r="AC108" i="15"/>
  <c r="AA108" i="15" s="1"/>
  <c r="BP109" i="15"/>
  <c r="N102" i="9" l="1"/>
  <c r="O102" i="9" s="1"/>
  <c r="E155" i="13" s="1"/>
  <c r="J155" i="13" s="1"/>
  <c r="BW109" i="15"/>
  <c r="BS109" i="15" s="1"/>
  <c r="BV109" i="15"/>
  <c r="BR109" i="15" l="1"/>
  <c r="K104" i="7" s="1"/>
  <c r="M104" i="7" s="1"/>
  <c r="N104" i="7" s="1"/>
  <c r="AB104" i="7" l="1"/>
  <c r="AC104" i="7" s="1"/>
  <c r="AJ104" i="7"/>
  <c r="AK104" i="7" s="1"/>
  <c r="N109" i="15"/>
  <c r="AR104" i="7"/>
  <c r="AS104" i="7" s="1"/>
  <c r="AZ104" i="7"/>
  <c r="BA104" i="7" s="1"/>
  <c r="L104" i="7"/>
  <c r="T104" i="7" s="1"/>
  <c r="V104" i="7" s="1"/>
  <c r="Q109" i="15" l="1"/>
  <c r="R109" i="15" s="1"/>
  <c r="O109" i="15"/>
  <c r="S105" i="7"/>
  <c r="F104" i="7"/>
  <c r="W105" i="7"/>
  <c r="AP105" i="7"/>
  <c r="I104" i="7"/>
  <c r="H104" i="7" s="1"/>
  <c r="AO105" i="7"/>
  <c r="AT105" i="7" s="1"/>
  <c r="AW105" i="7"/>
  <c r="BB105" i="7" s="1"/>
  <c r="AX105" i="7"/>
  <c r="AG105" i="7"/>
  <c r="AL105" i="7" s="1"/>
  <c r="AH105" i="7"/>
  <c r="Z105" i="7"/>
  <c r="Y105" i="7"/>
  <c r="AD105" i="7" s="1"/>
  <c r="G104" i="7"/>
  <c r="L103" i="9" l="1"/>
  <c r="AI105" i="7"/>
  <c r="AM105" i="7" s="1"/>
  <c r="Q105" i="7" s="1"/>
  <c r="I110" i="15" s="1"/>
  <c r="K110" i="15" s="1"/>
  <c r="W110" i="15" s="1"/>
  <c r="AA105" i="7"/>
  <c r="AE105" i="7" s="1"/>
  <c r="AX109" i="15"/>
  <c r="AV109" i="15"/>
  <c r="AS109" i="15"/>
  <c r="AW109" i="15"/>
  <c r="AZ109" i="15"/>
  <c r="AT109" i="15"/>
  <c r="AU109" i="15"/>
  <c r="AY109" i="15"/>
  <c r="AR109" i="15"/>
  <c r="AY105" i="7"/>
  <c r="AQ105" i="7"/>
  <c r="P105" i="7"/>
  <c r="E104" i="7"/>
  <c r="L156" i="13" s="1"/>
  <c r="N156" i="13" s="1"/>
  <c r="O156" i="13" s="1"/>
  <c r="BE110" i="15" l="1"/>
  <c r="BG110" i="15"/>
  <c r="BH110" i="15"/>
  <c r="BJ110" i="15"/>
  <c r="BI110" i="15"/>
  <c r="BK110" i="15"/>
  <c r="BC110" i="15"/>
  <c r="BF110" i="15"/>
  <c r="BD110" i="15"/>
  <c r="F110" i="15"/>
  <c r="G110" i="15" s="1"/>
  <c r="M104" i="9"/>
  <c r="P104" i="9" s="1"/>
  <c r="F157" i="13" s="1"/>
  <c r="D157" i="13"/>
  <c r="AU105" i="7"/>
  <c r="BC105" i="7"/>
  <c r="AQ109" i="15"/>
  <c r="S109" i="15" s="1"/>
  <c r="U109" i="15" s="1"/>
  <c r="V109" i="15" s="1"/>
  <c r="BB110" i="15" l="1"/>
  <c r="L110" i="15" s="1"/>
  <c r="U105" i="7" s="1"/>
  <c r="BM110" i="15"/>
  <c r="BN110" i="15" s="1"/>
  <c r="BX110" i="15" s="1"/>
  <c r="BT110" i="15" s="1"/>
  <c r="BO110" i="15" s="1"/>
  <c r="BY110" i="15" s="1"/>
  <c r="BU110" i="15" s="1"/>
  <c r="AJ109" i="15"/>
  <c r="AF109" i="15"/>
  <c r="AO109" i="15"/>
  <c r="AK109" i="15"/>
  <c r="AD109" i="15"/>
  <c r="AG109" i="15"/>
  <c r="AL109" i="15"/>
  <c r="AE109" i="15"/>
  <c r="AI109" i="15"/>
  <c r="AN109" i="15"/>
  <c r="AH109" i="15"/>
  <c r="AC109" i="15" l="1"/>
  <c r="AA109" i="15" s="1"/>
  <c r="BP110" i="15"/>
  <c r="N103" i="9" l="1"/>
  <c r="O103" i="9" s="1"/>
  <c r="E156" i="13" s="1"/>
  <c r="J156" i="13" s="1"/>
  <c r="BV110" i="15"/>
  <c r="BW110" i="15"/>
  <c r="BS110" i="15" s="1"/>
  <c r="BR110" i="15" s="1"/>
  <c r="K105" i="7" s="1"/>
  <c r="M105" i="7" l="1"/>
  <c r="N105" i="7" s="1"/>
  <c r="L105" i="7" l="1"/>
  <c r="T105" i="7" s="1"/>
  <c r="V105" i="7" s="1"/>
  <c r="N110" i="15"/>
  <c r="AR105" i="7"/>
  <c r="AS105" i="7" s="1"/>
  <c r="AZ105" i="7"/>
  <c r="BA105" i="7" s="1"/>
  <c r="AJ105" i="7"/>
  <c r="AK105" i="7" s="1"/>
  <c r="AB105" i="7"/>
  <c r="AC105" i="7" s="1"/>
  <c r="Q110" i="15" l="1"/>
  <c r="O110" i="15"/>
  <c r="Y106" i="7"/>
  <c r="AD106" i="7" s="1"/>
  <c r="G105" i="7"/>
  <c r="Z106" i="7"/>
  <c r="P106" i="7" s="1"/>
  <c r="AG106" i="7"/>
  <c r="AL106" i="7" s="1"/>
  <c r="AH106" i="7"/>
  <c r="AO106" i="7"/>
  <c r="AT106" i="7" s="1"/>
  <c r="AP106" i="7"/>
  <c r="I105" i="7"/>
  <c r="H105" i="7" s="1"/>
  <c r="AX106" i="7"/>
  <c r="AW106" i="7"/>
  <c r="BB106" i="7" s="1"/>
  <c r="R110" i="15"/>
  <c r="L104" i="9"/>
  <c r="W106" i="7"/>
  <c r="S106" i="7"/>
  <c r="F105" i="7"/>
  <c r="E105" i="7" l="1"/>
  <c r="L157" i="13" s="1"/>
  <c r="N157" i="13" s="1"/>
  <c r="O157" i="13" s="1"/>
  <c r="AY106" i="7"/>
  <c r="BC106" i="7" s="1"/>
  <c r="AQ106" i="7"/>
  <c r="AU106" i="7" s="1"/>
  <c r="AI106" i="7"/>
  <c r="AM106" i="7" s="1"/>
  <c r="M105" i="9"/>
  <c r="P105" i="9" s="1"/>
  <c r="F158" i="13" s="1"/>
  <c r="F111" i="15"/>
  <c r="G111" i="15" s="1"/>
  <c r="D158" i="13"/>
  <c r="AT110" i="15"/>
  <c r="AU110" i="15"/>
  <c r="AV110" i="15"/>
  <c r="AY110" i="15"/>
  <c r="AZ110" i="15"/>
  <c r="AX110" i="15"/>
  <c r="AR110" i="15"/>
  <c r="AS110" i="15"/>
  <c r="AW110" i="15"/>
  <c r="AA106" i="7"/>
  <c r="AE106" i="7" l="1"/>
  <c r="Q106" i="7" s="1"/>
  <c r="I111" i="15" s="1"/>
  <c r="K111" i="15" s="1"/>
  <c r="W111" i="15" s="1"/>
  <c r="AQ110" i="15"/>
  <c r="S110" i="15" s="1"/>
  <c r="U110" i="15" s="1"/>
  <c r="V110" i="15" s="1"/>
  <c r="BM111" i="15"/>
  <c r="BN111" i="15" s="1"/>
  <c r="BX111" i="15" s="1"/>
  <c r="BT111" i="15" s="1"/>
  <c r="BO111" i="15" s="1"/>
  <c r="BY111" i="15" s="1"/>
  <c r="BU111" i="15" s="1"/>
  <c r="BP111" i="15" l="1"/>
  <c r="AF110" i="15"/>
  <c r="AN110" i="15"/>
  <c r="AI110" i="15"/>
  <c r="AG110" i="15"/>
  <c r="AK110" i="15"/>
  <c r="AO110" i="15"/>
  <c r="AH110" i="15"/>
  <c r="AD110" i="15"/>
  <c r="AJ110" i="15"/>
  <c r="AL110" i="15"/>
  <c r="AE110" i="15"/>
  <c r="BI111" i="15"/>
  <c r="BK111" i="15"/>
  <c r="BJ111" i="15"/>
  <c r="BH111" i="15"/>
  <c r="BE111" i="15"/>
  <c r="BD111" i="15"/>
  <c r="BC111" i="15"/>
  <c r="BG111" i="15"/>
  <c r="BF111" i="15"/>
  <c r="BB111" i="15" l="1"/>
  <c r="L111" i="15" s="1"/>
  <c r="U106" i="7" s="1"/>
  <c r="AC110" i="15"/>
  <c r="AA110" i="15" s="1"/>
  <c r="BV111" i="15"/>
  <c r="BW111" i="15"/>
  <c r="BS111" i="15" s="1"/>
  <c r="BR111" i="15" s="1"/>
  <c r="K106" i="7" s="1"/>
  <c r="N104" i="9" l="1"/>
  <c r="O104" i="9" s="1"/>
  <c r="E157" i="13" s="1"/>
  <c r="J157" i="13" s="1"/>
  <c r="M106" i="7"/>
  <c r="N106" i="7" s="1"/>
  <c r="AJ106" i="7" l="1"/>
  <c r="AK106" i="7" s="1"/>
  <c r="AB106" i="7"/>
  <c r="AC106" i="7" s="1"/>
  <c r="N111" i="15"/>
  <c r="AR106" i="7"/>
  <c r="AS106" i="7" s="1"/>
  <c r="AZ106" i="7"/>
  <c r="BA106" i="7" s="1"/>
  <c r="L106" i="7"/>
  <c r="T106" i="7" s="1"/>
  <c r="V106" i="7" s="1"/>
  <c r="Q111" i="15" l="1"/>
  <c r="R111" i="15" s="1"/>
  <c r="O111" i="15"/>
  <c r="S107" i="7"/>
  <c r="W107" i="7"/>
  <c r="F106" i="7"/>
  <c r="AO107" i="7"/>
  <c r="AT107" i="7" s="1"/>
  <c r="I106" i="7"/>
  <c r="H106" i="7" s="1"/>
  <c r="AP107" i="7"/>
  <c r="AX107" i="7"/>
  <c r="AW107" i="7"/>
  <c r="BB107" i="7" s="1"/>
  <c r="L105" i="9"/>
  <c r="Z107" i="7"/>
  <c r="P107" i="7" s="1"/>
  <c r="G106" i="7"/>
  <c r="Y107" i="7"/>
  <c r="AD107" i="7" s="1"/>
  <c r="AH107" i="7"/>
  <c r="AG107" i="7"/>
  <c r="AL107" i="7" s="1"/>
  <c r="AQ107" i="7" l="1"/>
  <c r="AU107" i="7" s="1"/>
  <c r="AI107" i="7"/>
  <c r="AM107" i="7" s="1"/>
  <c r="AY107" i="7"/>
  <c r="F112" i="15"/>
  <c r="G112" i="15" s="1"/>
  <c r="D159" i="13"/>
  <c r="M106" i="9"/>
  <c r="P106" i="9" s="1"/>
  <c r="F159" i="13" s="1"/>
  <c r="AT111" i="15"/>
  <c r="AV111" i="15"/>
  <c r="AR111" i="15"/>
  <c r="AZ111" i="15"/>
  <c r="AW111" i="15"/>
  <c r="AU111" i="15"/>
  <c r="AS111" i="15"/>
  <c r="AX111" i="15"/>
  <c r="AY111" i="15"/>
  <c r="BC107" i="7"/>
  <c r="E106" i="7"/>
  <c r="L158" i="13" s="1"/>
  <c r="N158" i="13" s="1"/>
  <c r="O158" i="13" s="1"/>
  <c r="AA107" i="7"/>
  <c r="AQ111" i="15" l="1"/>
  <c r="S111" i="15" s="1"/>
  <c r="U111" i="15" s="1"/>
  <c r="V111" i="15" s="1"/>
  <c r="AE107" i="7"/>
  <c r="Q107" i="7" s="1"/>
  <c r="I112" i="15" s="1"/>
  <c r="K112" i="15" s="1"/>
  <c r="W112" i="15" s="1"/>
  <c r="BM112" i="15"/>
  <c r="BN112" i="15" s="1"/>
  <c r="BX112" i="15" s="1"/>
  <c r="BT112" i="15" s="1"/>
  <c r="BO112" i="15" s="1"/>
  <c r="BY112" i="15" s="1"/>
  <c r="BU112" i="15" s="1"/>
  <c r="BP112" i="15" l="1"/>
  <c r="BG112" i="15"/>
  <c r="BF112" i="15"/>
  <c r="BD112" i="15"/>
  <c r="BI112" i="15"/>
  <c r="BJ112" i="15"/>
  <c r="BH112" i="15"/>
  <c r="BC112" i="15"/>
  <c r="BE112" i="15"/>
  <c r="BK112" i="15"/>
  <c r="AG111" i="15"/>
  <c r="AJ111" i="15"/>
  <c r="AO111" i="15"/>
  <c r="AF111" i="15"/>
  <c r="AK111" i="15"/>
  <c r="AL111" i="15"/>
  <c r="AD111" i="15"/>
  <c r="AH111" i="15"/>
  <c r="AE111" i="15"/>
  <c r="AN111" i="15"/>
  <c r="AI111" i="15"/>
  <c r="BB112" i="15" l="1"/>
  <c r="L112" i="15" s="1"/>
  <c r="U107" i="7" s="1"/>
  <c r="AC111" i="15"/>
  <c r="AA111" i="15" s="1"/>
  <c r="BW112" i="15"/>
  <c r="BS112" i="15" s="1"/>
  <c r="BV112" i="15"/>
  <c r="N105" i="9" l="1"/>
  <c r="O105" i="9" s="1"/>
  <c r="E158" i="13" s="1"/>
  <c r="J158" i="13" s="1"/>
  <c r="BR112" i="15"/>
  <c r="K107" i="7" s="1"/>
  <c r="M107" i="7" s="1"/>
  <c r="N107" i="7" s="1"/>
  <c r="AJ107" i="7" l="1"/>
  <c r="AK107" i="7" s="1"/>
  <c r="AB107" i="7"/>
  <c r="AC107" i="7" s="1"/>
  <c r="L107" i="7"/>
  <c r="T107" i="7" s="1"/>
  <c r="V107" i="7" s="1"/>
  <c r="N112" i="15"/>
  <c r="AZ107" i="7"/>
  <c r="BA107" i="7" s="1"/>
  <c r="AR107" i="7"/>
  <c r="AS107" i="7" s="1"/>
  <c r="Q112" i="15" l="1"/>
  <c r="O112" i="15"/>
  <c r="AW108" i="7"/>
  <c r="BB108" i="7" s="1"/>
  <c r="AX108" i="7"/>
  <c r="AO108" i="7"/>
  <c r="AT108" i="7" s="1"/>
  <c r="I107" i="7"/>
  <c r="H107" i="7" s="1"/>
  <c r="AP108" i="7"/>
  <c r="AQ108" i="7"/>
  <c r="R112" i="15"/>
  <c r="L106" i="9"/>
  <c r="W108" i="7"/>
  <c r="S108" i="7"/>
  <c r="F107" i="7"/>
  <c r="G107" i="7"/>
  <c r="Z108" i="7"/>
  <c r="P108" i="7" s="1"/>
  <c r="Y108" i="7"/>
  <c r="AD108" i="7" s="1"/>
  <c r="AH108" i="7"/>
  <c r="AG108" i="7"/>
  <c r="AL108" i="7" s="1"/>
  <c r="AU108" i="7" l="1"/>
  <c r="E107" i="7"/>
  <c r="L159" i="13" s="1"/>
  <c r="N159" i="13" s="1"/>
  <c r="O159" i="13" s="1"/>
  <c r="AY108" i="7"/>
  <c r="BC108" i="7" s="1"/>
  <c r="AI108" i="7"/>
  <c r="AM108" i="7" s="1"/>
  <c r="D160" i="13"/>
  <c r="M107" i="9"/>
  <c r="P107" i="9" s="1"/>
  <c r="F160" i="13" s="1"/>
  <c r="F113" i="15"/>
  <c r="G113" i="15" s="1"/>
  <c r="AA108" i="7"/>
  <c r="AV112" i="15"/>
  <c r="AT112" i="15"/>
  <c r="AW112" i="15"/>
  <c r="AR112" i="15"/>
  <c r="AS112" i="15"/>
  <c r="AU112" i="15"/>
  <c r="AX112" i="15"/>
  <c r="AY112" i="15"/>
  <c r="AZ112" i="15"/>
  <c r="AE108" i="7" l="1"/>
  <c r="Q108" i="7" s="1"/>
  <c r="I113" i="15" s="1"/>
  <c r="K113" i="15" s="1"/>
  <c r="W113" i="15" s="1"/>
  <c r="BM113" i="15"/>
  <c r="BN113" i="15" s="1"/>
  <c r="BX113" i="15" s="1"/>
  <c r="BT113" i="15" s="1"/>
  <c r="BO113" i="15" s="1"/>
  <c r="BY113" i="15" s="1"/>
  <c r="BU113" i="15" s="1"/>
  <c r="AQ112" i="15"/>
  <c r="S112" i="15" s="1"/>
  <c r="U112" i="15" s="1"/>
  <c r="V112" i="15" s="1"/>
  <c r="AG112" i="15" l="1"/>
  <c r="AJ112" i="15"/>
  <c r="AO112" i="15"/>
  <c r="AK112" i="15"/>
  <c r="AE112" i="15"/>
  <c r="AH112" i="15"/>
  <c r="AI112" i="15"/>
  <c r="AL112" i="15"/>
  <c r="AN112" i="15"/>
  <c r="AF112" i="15"/>
  <c r="AD112" i="15"/>
  <c r="BP113" i="15"/>
  <c r="BE113" i="15"/>
  <c r="BG113" i="15"/>
  <c r="BH113" i="15"/>
  <c r="BF113" i="15"/>
  <c r="BC113" i="15"/>
  <c r="BJ113" i="15"/>
  <c r="BI113" i="15"/>
  <c r="BK113" i="15"/>
  <c r="BD113" i="15"/>
  <c r="BW113" i="15" l="1"/>
  <c r="BS113" i="15" s="1"/>
  <c r="BV113" i="15"/>
  <c r="AC112" i="15"/>
  <c r="AA112" i="15" s="1"/>
  <c r="BB113" i="15"/>
  <c r="L113" i="15" s="1"/>
  <c r="U108" i="7" s="1"/>
  <c r="N106" i="9" l="1"/>
  <c r="O106" i="9" s="1"/>
  <c r="E159" i="13" s="1"/>
  <c r="J159" i="13" s="1"/>
  <c r="BR113" i="15"/>
  <c r="K108" i="7" s="1"/>
  <c r="M108" i="7" s="1"/>
  <c r="N108" i="7" s="1"/>
  <c r="N113" i="15" l="1"/>
  <c r="AR108" i="7"/>
  <c r="AS108" i="7" s="1"/>
  <c r="AZ108" i="7"/>
  <c r="BA108" i="7" s="1"/>
  <c r="AJ108" i="7"/>
  <c r="AK108" i="7" s="1"/>
  <c r="AB108" i="7"/>
  <c r="AC108" i="7" s="1"/>
  <c r="L108" i="7"/>
  <c r="T108" i="7" s="1"/>
  <c r="V108" i="7" s="1"/>
  <c r="Q113" i="15" l="1"/>
  <c r="R113" i="15" s="1"/>
  <c r="O113" i="15"/>
  <c r="S109" i="7"/>
  <c r="F108" i="7"/>
  <c r="W109" i="7"/>
  <c r="Y109" i="7"/>
  <c r="AD109" i="7" s="1"/>
  <c r="G108" i="7"/>
  <c r="Z109" i="7"/>
  <c r="P109" i="7" s="1"/>
  <c r="AH109" i="7"/>
  <c r="AG109" i="7"/>
  <c r="AL109" i="7" s="1"/>
  <c r="AO109" i="7"/>
  <c r="AT109" i="7" s="1"/>
  <c r="AP109" i="7"/>
  <c r="I108" i="7"/>
  <c r="H108" i="7" s="1"/>
  <c r="AW109" i="7"/>
  <c r="BB109" i="7" s="1"/>
  <c r="AX109" i="7"/>
  <c r="L107" i="9"/>
  <c r="AQ109" i="7" l="1"/>
  <c r="AU109" i="7" s="1"/>
  <c r="AA109" i="7"/>
  <c r="AE109" i="7" s="1"/>
  <c r="AI109" i="7"/>
  <c r="AM109" i="7" s="1"/>
  <c r="Q109" i="7" s="1"/>
  <c r="I114" i="15" s="1"/>
  <c r="K114" i="15" s="1"/>
  <c r="W114" i="15" s="1"/>
  <c r="BI114" i="15" s="1"/>
  <c r="D161" i="13"/>
  <c r="M108" i="9"/>
  <c r="P108" i="9" s="1"/>
  <c r="F161" i="13" s="1"/>
  <c r="F114" i="15"/>
  <c r="G114" i="15" s="1"/>
  <c r="AX113" i="15"/>
  <c r="AV113" i="15"/>
  <c r="AW113" i="15"/>
  <c r="AY113" i="15"/>
  <c r="AT113" i="15"/>
  <c r="AR113" i="15"/>
  <c r="AS113" i="15"/>
  <c r="AZ113" i="15"/>
  <c r="AU113" i="15"/>
  <c r="AY109" i="7"/>
  <c r="E108" i="7"/>
  <c r="L160" i="13" s="1"/>
  <c r="N160" i="13" s="1"/>
  <c r="O160" i="13" s="1"/>
  <c r="BE114" i="15" l="1"/>
  <c r="BK114" i="15"/>
  <c r="BF114" i="15"/>
  <c r="BC114" i="15"/>
  <c r="BJ114" i="15"/>
  <c r="BH114" i="15"/>
  <c r="BG114" i="15"/>
  <c r="BD114" i="15"/>
  <c r="BC109" i="7"/>
  <c r="BM114" i="15"/>
  <c r="BN114" i="15" s="1"/>
  <c r="BX114" i="15" s="1"/>
  <c r="BT114" i="15" s="1"/>
  <c r="BO114" i="15" s="1"/>
  <c r="BY114" i="15" s="1"/>
  <c r="BU114" i="15" s="1"/>
  <c r="AQ113" i="15"/>
  <c r="S113" i="15" s="1"/>
  <c r="U113" i="15" s="1"/>
  <c r="V113" i="15" s="1"/>
  <c r="BB114" i="15" l="1"/>
  <c r="L114" i="15" s="1"/>
  <c r="U109" i="7" s="1"/>
  <c r="BP114" i="15"/>
  <c r="AN113" i="15"/>
  <c r="AE113" i="15"/>
  <c r="AG113" i="15"/>
  <c r="AF113" i="15"/>
  <c r="AI113" i="15"/>
  <c r="AK113" i="15"/>
  <c r="AD113" i="15"/>
  <c r="AO113" i="15"/>
  <c r="AJ113" i="15"/>
  <c r="AL113" i="15"/>
  <c r="AH113" i="15"/>
  <c r="AC113" i="15" l="1"/>
  <c r="AA113" i="15" s="1"/>
  <c r="BW114" i="15"/>
  <c r="BS114" i="15" s="1"/>
  <c r="BV114" i="15"/>
  <c r="N107" i="9" l="1"/>
  <c r="O107" i="9" s="1"/>
  <c r="E160" i="13" s="1"/>
  <c r="J160" i="13" s="1"/>
  <c r="BR114" i="15"/>
  <c r="K109" i="7" s="1"/>
  <c r="M109" i="7" s="1"/>
  <c r="N109" i="7" s="1"/>
  <c r="N114" i="15" l="1"/>
  <c r="AR109" i="7"/>
  <c r="AS109" i="7" s="1"/>
  <c r="AZ109" i="7"/>
  <c r="BA109" i="7" s="1"/>
  <c r="AJ109" i="7"/>
  <c r="AK109" i="7" s="1"/>
  <c r="AB109" i="7"/>
  <c r="AC109" i="7" s="1"/>
  <c r="L109" i="7"/>
  <c r="T109" i="7" s="1"/>
  <c r="V109" i="7" s="1"/>
  <c r="Q114" i="15" l="1"/>
  <c r="R114" i="15" s="1"/>
  <c r="O114" i="15"/>
  <c r="F109" i="7"/>
  <c r="S110" i="7"/>
  <c r="W110" i="7"/>
  <c r="G109" i="7"/>
  <c r="Z110" i="7"/>
  <c r="Y110" i="7"/>
  <c r="AD110" i="7" s="1"/>
  <c r="AW110" i="7"/>
  <c r="BB110" i="7" s="1"/>
  <c r="AX110" i="7"/>
  <c r="I109" i="7"/>
  <c r="H109" i="7" s="1"/>
  <c r="AP110" i="7"/>
  <c r="AO110" i="7"/>
  <c r="AT110" i="7" s="1"/>
  <c r="AH110" i="7"/>
  <c r="AG110" i="7"/>
  <c r="AL110" i="7" s="1"/>
  <c r="L108" i="9"/>
  <c r="P110" i="7" l="1"/>
  <c r="F115" i="15" s="1"/>
  <c r="G115" i="15" s="1"/>
  <c r="AR114" i="15"/>
  <c r="AZ114" i="15"/>
  <c r="AU114" i="15"/>
  <c r="AT114" i="15"/>
  <c r="AW114" i="15"/>
  <c r="AV114" i="15"/>
  <c r="AY114" i="15"/>
  <c r="AX114" i="15"/>
  <c r="AS114" i="15"/>
  <c r="AI110" i="7"/>
  <c r="AQ110" i="7"/>
  <c r="AY110" i="7"/>
  <c r="AA110" i="7"/>
  <c r="E109" i="7"/>
  <c r="L161" i="13" s="1"/>
  <c r="N161" i="13" s="1"/>
  <c r="O161" i="13" s="1"/>
  <c r="D162" i="13" l="1"/>
  <c r="M109" i="9"/>
  <c r="P109" i="9" s="1"/>
  <c r="F162" i="13" s="1"/>
  <c r="AE110" i="7"/>
  <c r="AU110" i="7"/>
  <c r="AM110" i="7"/>
  <c r="Q110" i="7" s="1"/>
  <c r="I115" i="15" s="1"/>
  <c r="K115" i="15" s="1"/>
  <c r="W115" i="15" s="1"/>
  <c r="BM115" i="15"/>
  <c r="BN115" i="15" s="1"/>
  <c r="BX115" i="15" s="1"/>
  <c r="BT115" i="15" s="1"/>
  <c r="BO115" i="15" s="1"/>
  <c r="BY115" i="15" s="1"/>
  <c r="BU115" i="15" s="1"/>
  <c r="BC110" i="7"/>
  <c r="AQ114" i="15"/>
  <c r="S114" i="15" s="1"/>
  <c r="U114" i="15" s="1"/>
  <c r="V114" i="15" s="1"/>
  <c r="BP115" i="15" l="1"/>
  <c r="BE115" i="15"/>
  <c r="BH115" i="15"/>
  <c r="BG115" i="15"/>
  <c r="BJ115" i="15"/>
  <c r="BI115" i="15"/>
  <c r="BC115" i="15"/>
  <c r="BD115" i="15"/>
  <c r="BK115" i="15"/>
  <c r="BF115" i="15"/>
  <c r="AJ114" i="15"/>
  <c r="AN114" i="15"/>
  <c r="AD114" i="15"/>
  <c r="AH114" i="15"/>
  <c r="AO114" i="15"/>
  <c r="AE114" i="15"/>
  <c r="AG114" i="15"/>
  <c r="AK114" i="15"/>
  <c r="AI114" i="15"/>
  <c r="AF114" i="15"/>
  <c r="AL114" i="15"/>
  <c r="AC114" i="15" l="1"/>
  <c r="AA114" i="15" s="1"/>
  <c r="BB115" i="15"/>
  <c r="L115" i="15" s="1"/>
  <c r="U110" i="7" s="1"/>
  <c r="BV115" i="15"/>
  <c r="BW115" i="15"/>
  <c r="BS115" i="15" s="1"/>
  <c r="BR115" i="15" s="1"/>
  <c r="K110" i="7" s="1"/>
  <c r="N108" i="9" l="1"/>
  <c r="O108" i="9" s="1"/>
  <c r="E161" i="13" s="1"/>
  <c r="J161" i="13" s="1"/>
  <c r="M110" i="7"/>
  <c r="N110" i="7" s="1"/>
  <c r="L110" i="7" l="1"/>
  <c r="T110" i="7" s="1"/>
  <c r="V110" i="7" s="1"/>
  <c r="N115" i="15"/>
  <c r="AZ110" i="7"/>
  <c r="BA110" i="7" s="1"/>
  <c r="AR110" i="7"/>
  <c r="AS110" i="7" s="1"/>
  <c r="AB110" i="7"/>
  <c r="AC110" i="7" s="1"/>
  <c r="AJ110" i="7"/>
  <c r="AK110" i="7" s="1"/>
  <c r="Q115" i="15" l="1"/>
  <c r="R115" i="15" s="1"/>
  <c r="O115" i="15"/>
  <c r="AH111" i="7"/>
  <c r="AG111" i="7"/>
  <c r="AL111" i="7" s="1"/>
  <c r="Z111" i="7"/>
  <c r="P111" i="7" s="1"/>
  <c r="Y111" i="7"/>
  <c r="AD111" i="7" s="1"/>
  <c r="G110" i="7"/>
  <c r="AX111" i="7"/>
  <c r="AW111" i="7"/>
  <c r="BB111" i="7" s="1"/>
  <c r="I110" i="7"/>
  <c r="H110" i="7" s="1"/>
  <c r="AO111" i="7"/>
  <c r="AT111" i="7" s="1"/>
  <c r="AP111" i="7"/>
  <c r="L109" i="9"/>
  <c r="F110" i="7"/>
  <c r="W111" i="7"/>
  <c r="S111" i="7"/>
  <c r="AA111" i="7" l="1"/>
  <c r="AE111" i="7" s="1"/>
  <c r="E110" i="7"/>
  <c r="L162" i="13" s="1"/>
  <c r="N162" i="13" s="1"/>
  <c r="O162" i="13" s="1"/>
  <c r="AQ111" i="7"/>
  <c r="F116" i="15"/>
  <c r="G116" i="15" s="1"/>
  <c r="D163" i="13"/>
  <c r="M110" i="9"/>
  <c r="P110" i="9" s="1"/>
  <c r="F163" i="13" s="1"/>
  <c r="AZ115" i="15"/>
  <c r="AS115" i="15"/>
  <c r="AY115" i="15"/>
  <c r="AV115" i="15"/>
  <c r="AR115" i="15"/>
  <c r="AT115" i="15"/>
  <c r="AU115" i="15"/>
  <c r="AX115" i="15"/>
  <c r="AW115" i="15"/>
  <c r="AY111" i="7"/>
  <c r="AI111" i="7"/>
  <c r="BC111" i="7" l="1"/>
  <c r="AQ115" i="15"/>
  <c r="S115" i="15" s="1"/>
  <c r="U115" i="15" s="1"/>
  <c r="V115" i="15" s="1"/>
  <c r="BM116" i="15"/>
  <c r="BN116" i="15" s="1"/>
  <c r="BX116" i="15" s="1"/>
  <c r="BT116" i="15" s="1"/>
  <c r="BO116" i="15" s="1"/>
  <c r="BY116" i="15" s="1"/>
  <c r="BU116" i="15" s="1"/>
  <c r="AM111" i="7"/>
  <c r="Q111" i="7" s="1"/>
  <c r="I116" i="15" s="1"/>
  <c r="K116" i="15" s="1"/>
  <c r="W116" i="15" s="1"/>
  <c r="AU111" i="7"/>
  <c r="BG116" i="15" l="1"/>
  <c r="BD116" i="15"/>
  <c r="BI116" i="15"/>
  <c r="BH116" i="15"/>
  <c r="BJ116" i="15"/>
  <c r="BE116" i="15"/>
  <c r="BF116" i="15"/>
  <c r="BK116" i="15"/>
  <c r="BC116" i="15"/>
  <c r="BP116" i="15"/>
  <c r="AH115" i="15"/>
  <c r="AN115" i="15"/>
  <c r="AE115" i="15"/>
  <c r="AO115" i="15"/>
  <c r="AL115" i="15"/>
  <c r="AJ115" i="15"/>
  <c r="AK115" i="15"/>
  <c r="AF115" i="15"/>
  <c r="AG115" i="15"/>
  <c r="AI115" i="15"/>
  <c r="AD115" i="15"/>
  <c r="AC115" i="15" l="1"/>
  <c r="AA115" i="15" s="1"/>
  <c r="BW116" i="15"/>
  <c r="BS116" i="15" s="1"/>
  <c r="BV116" i="15"/>
  <c r="BB116" i="15"/>
  <c r="L116" i="15" s="1"/>
  <c r="U111" i="7" s="1"/>
  <c r="N109" i="9" l="1"/>
  <c r="O109" i="9" s="1"/>
  <c r="E162" i="13" s="1"/>
  <c r="J162" i="13" s="1"/>
  <c r="BR116" i="15"/>
  <c r="K111" i="7" s="1"/>
  <c r="M111" i="7" s="1"/>
  <c r="N111" i="7" s="1"/>
  <c r="AB111" i="7" l="1"/>
  <c r="AC111" i="7" s="1"/>
  <c r="AJ111" i="7"/>
  <c r="AK111" i="7" s="1"/>
  <c r="N116" i="15"/>
  <c r="AR111" i="7"/>
  <c r="AS111" i="7" s="1"/>
  <c r="I111" i="7" s="1"/>
  <c r="H111" i="7" s="1"/>
  <c r="AZ111" i="7"/>
  <c r="BA111" i="7" s="1"/>
  <c r="L111" i="7"/>
  <c r="T111" i="7" s="1"/>
  <c r="V111" i="7" s="1"/>
  <c r="F111" i="7" s="1"/>
  <c r="Q116" i="15" l="1"/>
  <c r="R116" i="15" s="1"/>
  <c r="O116" i="15"/>
  <c r="G111" i="7"/>
  <c r="E111" i="7" s="1"/>
  <c r="L163" i="13" s="1"/>
  <c r="N163" i="13" s="1"/>
  <c r="O163" i="13" s="1"/>
  <c r="L110" i="9"/>
  <c r="AW116" i="15" l="1"/>
  <c r="AU116" i="15"/>
  <c r="AZ116" i="15"/>
  <c r="AX116" i="15"/>
  <c r="AT116" i="15"/>
  <c r="AY116" i="15"/>
  <c r="AR116" i="15"/>
  <c r="AV116" i="15"/>
  <c r="AS116" i="15"/>
  <c r="AQ116" i="15" l="1"/>
  <c r="S116" i="15" s="1"/>
  <c r="U116" i="15" s="1"/>
  <c r="V116" i="15" s="1"/>
  <c r="AF116" i="15" l="1"/>
  <c r="AL116" i="15"/>
  <c r="AG116" i="15"/>
  <c r="AI116" i="15"/>
  <c r="AD116" i="15"/>
  <c r="AN116" i="15"/>
  <c r="AE116" i="15"/>
  <c r="AH116" i="15"/>
  <c r="AJ116" i="15"/>
  <c r="AK116" i="15"/>
  <c r="AO116" i="15"/>
  <c r="AC116" i="15" l="1"/>
  <c r="AA116" i="15" s="1"/>
  <c r="N110" i="9" l="1"/>
  <c r="O110" i="9" s="1"/>
  <c r="E163" i="13" s="1"/>
  <c r="J163" i="13" s="1"/>
</calcChain>
</file>

<file path=xl/sharedStrings.xml><?xml version="1.0" encoding="utf-8"?>
<sst xmlns="http://schemas.openxmlformats.org/spreadsheetml/2006/main" count="442" uniqueCount="254">
  <si>
    <t>Utilities</t>
  </si>
  <si>
    <t>Tax Rate</t>
  </si>
  <si>
    <t>FICA</t>
  </si>
  <si>
    <t>Total</t>
  </si>
  <si>
    <t>Age</t>
  </si>
  <si>
    <t>Year</t>
  </si>
  <si>
    <t>Expenses</t>
  </si>
  <si>
    <t>Interest</t>
  </si>
  <si>
    <t>Insurance</t>
  </si>
  <si>
    <t>Utilities:</t>
  </si>
  <si>
    <t>Bonus</t>
  </si>
  <si>
    <t>Tax Brackets</t>
  </si>
  <si>
    <t>Medicare</t>
  </si>
  <si>
    <t>Capital Gain</t>
  </si>
  <si>
    <t>Bonds</t>
  </si>
  <si>
    <t>Stocks</t>
  </si>
  <si>
    <t>Dividend:</t>
  </si>
  <si>
    <t>Total Return:</t>
  </si>
  <si>
    <t>Investment 1:</t>
  </si>
  <si>
    <t>Balance:</t>
  </si>
  <si>
    <t>Dividend</t>
  </si>
  <si>
    <t>Investment 2:</t>
  </si>
  <si>
    <t>Investment 3:</t>
  </si>
  <si>
    <t>Investment 4:</t>
  </si>
  <si>
    <t>Tax Deferred:</t>
  </si>
  <si>
    <t>Salary</t>
  </si>
  <si>
    <t>Capital Gain?:</t>
  </si>
  <si>
    <t xml:space="preserve"> Income Cap:</t>
  </si>
  <si>
    <t>SideBiz</t>
  </si>
  <si>
    <t>Growth over Inflation</t>
  </si>
  <si>
    <t>Income:</t>
  </si>
  <si>
    <t xml:space="preserve">Active Income </t>
  </si>
  <si>
    <t>End Age:</t>
  </si>
  <si>
    <t>Start Age:</t>
  </si>
  <si>
    <t>Social Security</t>
  </si>
  <si>
    <t>Kid #1 College</t>
  </si>
  <si>
    <t>Expenses Total</t>
  </si>
  <si>
    <t>Mtg Years:</t>
  </si>
  <si>
    <t>Mtge Rate:</t>
  </si>
  <si>
    <t>Insurance:</t>
  </si>
  <si>
    <t>Mtg Ending
Balance</t>
  </si>
  <si>
    <t>Buy At Age:</t>
  </si>
  <si>
    <t>Sell at Age:</t>
  </si>
  <si>
    <t>Mortgage LTV:</t>
  </si>
  <si>
    <t>Equity</t>
  </si>
  <si>
    <t>-</t>
  </si>
  <si>
    <t>Retirement
Spending</t>
  </si>
  <si>
    <t>Ending Home 
Value</t>
  </si>
  <si>
    <t>Total Capital Gain</t>
  </si>
  <si>
    <t>Mortgage Interest</t>
  </si>
  <si>
    <t>Property Tax</t>
  </si>
  <si>
    <t>Adjusted Gross Income</t>
  </si>
  <si>
    <t>Schedule A Deduction</t>
  </si>
  <si>
    <t>Federal Taxable Income</t>
  </si>
  <si>
    <t>State Taxable Income</t>
  </si>
  <si>
    <t>Capital Gains</t>
  </si>
  <si>
    <t>Taxable Capital Gains</t>
  </si>
  <si>
    <t>After Tax Income</t>
  </si>
  <si>
    <t>Net Income</t>
  </si>
  <si>
    <t>State Tax &amp; Property Tax</t>
  </si>
  <si>
    <t>Total Property Tax</t>
  </si>
  <si>
    <t>Inflation:</t>
  </si>
  <si>
    <t>Total Equity</t>
  </si>
  <si>
    <t>Liquid Assets</t>
  </si>
  <si>
    <t>Total Assets</t>
  </si>
  <si>
    <t>Mortgage Principal</t>
  </si>
  <si>
    <t>Real Estate 
Transactions</t>
  </si>
  <si>
    <t>Rebalance</t>
  </si>
  <si>
    <t>Ending Balance</t>
  </si>
  <si>
    <t>Ordinary Income</t>
  </si>
  <si>
    <t>Investments</t>
  </si>
  <si>
    <t>Taxable Ordinary Income</t>
  </si>
  <si>
    <t>Active Income</t>
  </si>
  <si>
    <t>Real Estate</t>
  </si>
  <si>
    <t>Cash Account  Credit/Debit</t>
  </si>
  <si>
    <t>Opening Cash Balance</t>
  </si>
  <si>
    <t>Rebalance Target:</t>
  </si>
  <si>
    <t>Target Balance:</t>
  </si>
  <si>
    <t>Ending Cash Balance</t>
  </si>
  <si>
    <t>Starting Bal:</t>
  </si>
  <si>
    <t>Borrow Rate:</t>
  </si>
  <si>
    <t>Deposit Rate:</t>
  </si>
  <si>
    <t>Cap Gains Tax</t>
  </si>
  <si>
    <t>Total Expenses</t>
  </si>
  <si>
    <t>Inflation Growth Factor</t>
  </si>
  <si>
    <t>Property Tax Rate:</t>
  </si>
  <si>
    <t>Investment 1</t>
  </si>
  <si>
    <t>Investment 4</t>
  </si>
  <si>
    <t>Investment 3</t>
  </si>
  <si>
    <t>Investment 2</t>
  </si>
  <si>
    <t>General</t>
  </si>
  <si>
    <t>Cash Account</t>
  </si>
  <si>
    <t>Active Incomes</t>
  </si>
  <si>
    <t>Value (Zero if Renting):</t>
  </si>
  <si>
    <t>Maintenance (or Rent):</t>
  </si>
  <si>
    <t>401K Stocks</t>
  </si>
  <si>
    <t>401K Bonds</t>
  </si>
  <si>
    <t>401K Target Deposit:</t>
  </si>
  <si>
    <t>Taxed as Capital Gain?:</t>
  </si>
  <si>
    <t>Start Age (0 fo Today):</t>
  </si>
  <si>
    <t>Your Current Age:</t>
  </si>
  <si>
    <t>End at Age:</t>
  </si>
  <si>
    <t>Expenses 
(ex RE)</t>
  </si>
  <si>
    <t>Summary Output</t>
  </si>
  <si>
    <t>Description:</t>
  </si>
  <si>
    <r>
      <t xml:space="preserve">Expenses </t>
    </r>
    <r>
      <rPr>
        <i/>
        <sz val="11"/>
        <color theme="1"/>
        <rFont val="Calibri"/>
        <family val="2"/>
        <scheme val="minor"/>
      </rPr>
      <t>(excluding Housing &amp; Utilities)</t>
    </r>
  </si>
  <si>
    <t>Total Taxable Income</t>
  </si>
  <si>
    <t>Total Mortgage Payments</t>
  </si>
  <si>
    <t>Total Mortgage Interest</t>
  </si>
  <si>
    <t>Maintenance (or Rent)</t>
  </si>
  <si>
    <t>Total Purchase &amp; Sale</t>
  </si>
  <si>
    <t>Mtge Payment</t>
  </si>
  <si>
    <t>Mortgage</t>
  </si>
  <si>
    <t>Home Equity</t>
  </si>
  <si>
    <t>Real Estate Expenses</t>
  </si>
  <si>
    <t>Inputs Feed from Input Page:</t>
  </si>
  <si>
    <t>Cash Flows</t>
  </si>
  <si>
    <t>Net Cash Flow</t>
  </si>
  <si>
    <t>Total Net Cash Flows</t>
  </si>
  <si>
    <t>Total All Real Estate</t>
  </si>
  <si>
    <t>Expense:</t>
  </si>
  <si>
    <t>Growth over Inflation:</t>
  </si>
  <si>
    <t>Gains Taxed This Year</t>
  </si>
  <si>
    <t>Pay Taxes For
Capital Gains</t>
  </si>
  <si>
    <t>Balances</t>
  </si>
  <si>
    <t>Calculate Balance Adjustments</t>
  </si>
  <si>
    <t>This Year's  Savings 
(or Shortfall)</t>
  </si>
  <si>
    <t>Regular Investment
Credit/Debit</t>
  </si>
  <si>
    <t>401K
Credit/Debit</t>
  </si>
  <si>
    <t>Real Estate Assets</t>
  </si>
  <si>
    <t>Total Capital Gains</t>
  </si>
  <si>
    <t>401k Deposit</t>
  </si>
  <si>
    <t>401K 
Balances</t>
  </si>
  <si>
    <t>Taxes</t>
  </si>
  <si>
    <t>Max 401K Deposit:</t>
  </si>
  <si>
    <t>Standard Deduction:</t>
  </si>
  <si>
    <t>Prop &amp; State Tax Cap:</t>
  </si>
  <si>
    <t>Self Employed?:</t>
  </si>
  <si>
    <t>Income</t>
  </si>
  <si>
    <t>Federal Taxes</t>
  </si>
  <si>
    <t>State Taxes</t>
  </si>
  <si>
    <t>Federal Tax Rates</t>
  </si>
  <si>
    <t>State Tax Rates</t>
  </si>
  <si>
    <t>Capital Gain Tax Rates</t>
  </si>
  <si>
    <t>Tax Free</t>
  </si>
  <si>
    <t>Total Cash  Income</t>
  </si>
  <si>
    <t>Starting Balance:</t>
  </si>
  <si>
    <t>All Closing Balances</t>
  </si>
  <si>
    <t>Taxed Investment Income</t>
  </si>
  <si>
    <t>Activation Code:</t>
  </si>
  <si>
    <t>Decode String into Date</t>
  </si>
  <si>
    <t>Months:</t>
  </si>
  <si>
    <t>New Code:</t>
  </si>
  <si>
    <t>Today:</t>
  </si>
  <si>
    <t>Expired</t>
  </si>
  <si>
    <t>TOTAL</t>
  </si>
  <si>
    <t>Total All Taxes</t>
  </si>
  <si>
    <t>Current Home</t>
  </si>
  <si>
    <t>Retirement Home</t>
  </si>
  <si>
    <t>Monthly</t>
  </si>
  <si>
    <t>Monthly Total</t>
  </si>
  <si>
    <r>
      <rPr>
        <sz val="11"/>
        <color rgb="FFFF0000"/>
        <rFont val="Calibri"/>
        <family val="2"/>
        <scheme val="minor"/>
      </rPr>
      <t>Strongly recommend entering 0% while you fill out the spreadsheet</t>
    </r>
    <r>
      <rPr>
        <sz val="11"/>
        <color theme="1"/>
        <rFont val="Calibri"/>
        <family val="2"/>
        <scheme val="minor"/>
      </rPr>
      <t xml:space="preserve"> as the numbers will make more sense.  When finished, enter your future inflation rate.  Inflation has been running at 2% to 3% since the early 1980's, and 2.5% is a good estimate for future inflation.  </t>
    </r>
  </si>
  <si>
    <t>Your age is used for many inputs, such as a reference age for when your income and expenses begin and end, as well as when you purchase a second home.  It is used to calculate 401K penalties on early withdrawal.  We recommend that you have enough assets to make it at least to age 95, and if your spouse is for example 3 years younger than you, you should have assets to your age 98.</t>
  </si>
  <si>
    <t>This is how much (in today's dollars) you would like to contribute to a 401K.  Do not go higher than the legal limit.</t>
  </si>
  <si>
    <t xml:space="preserve">Inflation:
</t>
  </si>
  <si>
    <t>How much cash do you currently have.</t>
  </si>
  <si>
    <t>How much cash should you keep as a target.  You should try to keep this at a minimum 2 months of income.</t>
  </si>
  <si>
    <t>General Inputs</t>
  </si>
  <si>
    <t>You will describe your sources of income here.</t>
  </si>
  <si>
    <t>Any description you choose.</t>
  </si>
  <si>
    <t>The system will adjust incomes for inflation in future years, but is your income growing as you gain experience?  A typical profession might have 15% wage growth over inflation from the start, and then is capped (limited) to a ceiling which might be 2-5x the starting wage.  Setting inflation to 0% allows you to see whether the income trajectory you've defined looks reasonable on the Income tab.</t>
  </si>
  <si>
    <t>The Income Cap, if set, is the upper limit to what you can earn in today's dollars.  The cap is raised by inflation in future years.</t>
  </si>
  <si>
    <t>Is your income ordinary income, or will you be taxed at a capital gains tax rate, such as dividends from a business?</t>
  </si>
  <si>
    <t>Start Age (0 for Today):</t>
  </si>
  <si>
    <t>What age will this income start.  For current income, enter 0.</t>
  </si>
  <si>
    <t>At what age will this income end.  If it will continue indefinitely, enter a large number like 999.</t>
  </si>
  <si>
    <t>Interest rate you earn on bank deposits.  Usually this is below inflation.</t>
  </si>
  <si>
    <t>Interest rate you are charged by bank for borrowing. Assume inflation+3% for a home equity loan with good credit.  
Unsecured borrowing will be 2-3% higher.</t>
  </si>
  <si>
    <t>Amount:</t>
  </si>
  <si>
    <t>An annual dollar amount of the expense.</t>
  </si>
  <si>
    <t>The system will adjust for inflation, but does the expense grow above inflation?  This is unusual.</t>
  </si>
  <si>
    <t>What age will this expense start.  For current expense, enter 0.</t>
  </si>
  <si>
    <t>At what age will this expense end.  If it will continue indefinitely, enter a large number like 999.</t>
  </si>
  <si>
    <t>Any description you choose. Examples: LivingCosts, Kid#1College</t>
  </si>
  <si>
    <t>You will describe your general expenses here, such as living costs, child tuition.  Real estate costs are treated elsewhere on the Real Estate tab, including rent.  Each column is an expense.  There are up to 10 expenses, and most will be blank as placeholders.</t>
  </si>
  <si>
    <t>Any description you choose. Examples: Home, VacationHome, RetirementHome.</t>
  </si>
  <si>
    <t>The value today of the house.  Even if you will purchase the home in the future, enter today's value.  Renters will enter 0 since they are not purchasing a home.</t>
  </si>
  <si>
    <t>The system will adjust for inflation, but does the home value grow above inflation?  We would normally leave this field = 0%, since inflation has historically been a good estimate for home value growth.  If you want to understand this further, home values are 1) a function of local incomes, 2) the ground which appreciates more near urban centers, and less outside, and 3) the improvements (building).  The improvements depreciate over time, and will eventually need to be remodeled or torn down.  Inflation seems to be a reasonable estimate of ground growth plus building depreciation.</t>
  </si>
  <si>
    <t>At what age will you sell this home?</t>
  </si>
  <si>
    <t>What was the ORIGINAL term (length in years) of the mortage?</t>
  </si>
  <si>
    <t>What interest rate is your mortgage?</t>
  </si>
  <si>
    <t>The effective tax rate.  You should enter a % into system, and make sure the tax on the Real Estate tab matches your property tax bill.</t>
  </si>
  <si>
    <t>Home insurance, in annual payments.</t>
  </si>
  <si>
    <t>Enter your Annual Rent (Monthly x 12), plus the maintenance costs such as repairs and reserves for future repairs.</t>
  </si>
  <si>
    <t>Annual utility bills, such as for Gas, Electric, Sewer, Water.</t>
  </si>
  <si>
    <t>Describe your real estate, such as a home, second home, future retirement home. This includes rental homes.  You may have up to two homes.  We separate home expenses from living costs to better estimate the impact of a choice of home, including the tax impact of different tax jurisdictions.</t>
  </si>
  <si>
    <t xml:space="preserve">Four investment portfolios are provided, plus a cash account.  You may designate an account as taxable or tax deferred (401K, IRA).  </t>
  </si>
  <si>
    <t>The portfolios are rebalanced annually to maintain your chosen ratio of investments (think 60% stock, 40% bond).</t>
  </si>
  <si>
    <t>Your current account balance.</t>
  </si>
  <si>
    <t>Enter the expected annual rate of return.  Historically, 
- Money market has returned Inflation + 0.6%
- Bonds have returned Inflation + 3.5%
- Stocks have returned Inflation + 6%.  At current stock levels, it might be closer to Inflation + 4%.
Of course all of these are estimates.  Actual returns can be meaningfully higher or even negative.  We would direct you to reading the book "Asset Allocation: Balancing Financial Risk" to learn more.</t>
  </si>
  <si>
    <t>The amount that the investment pays out annually.  2% is a good estimate for stocks, while bonds will pay the entire total return.</t>
  </si>
  <si>
    <t>Describe your investment account.</t>
  </si>
  <si>
    <t>An annual pre-tax dollar amount.  
For Social Security, go to ssa.gov to find your expected benefits.  These are usually between $20,000-$35,000 per year.</t>
  </si>
  <si>
    <t>Years to Age 100</t>
  </si>
  <si>
    <t>Overview</t>
  </si>
  <si>
    <t>Tips &amp; Hints</t>
  </si>
  <si>
    <t>401K Balances Post Tax Value</t>
  </si>
  <si>
    <t>Calculations</t>
  </si>
  <si>
    <t>Est.AfterTax Income</t>
  </si>
  <si>
    <t>Excess Opening Target Cash</t>
  </si>
  <si>
    <t>Cumulative Taxable Gains</t>
  </si>
  <si>
    <t>Closing Value 
Pre-Rebalance</t>
  </si>
  <si>
    <t>Total Taxes</t>
  </si>
  <si>
    <t>Taxable 
Capital Gains</t>
  </si>
  <si>
    <t>Estimate
CapGain
Tax</t>
  </si>
  <si>
    <t>Estimate
FICA
Tax</t>
  </si>
  <si>
    <t>Estimate
State
Tax</t>
  </si>
  <si>
    <t>Estimate
Federal
Tax</t>
  </si>
  <si>
    <t>Estimate
Total
Tax</t>
  </si>
  <si>
    <t>Estimate
AGI</t>
  </si>
  <si>
    <t>Estimate
State 
Tax</t>
  </si>
  <si>
    <t>Estimate
Federal
Taxable Inc</t>
  </si>
  <si>
    <t>Estimate
Taxable 
CapGains</t>
  </si>
  <si>
    <t>Estimate 
SchedA</t>
  </si>
  <si>
    <t>Preliminary Tax Estimate: Needed to Estimate Investments to Liquidate</t>
  </si>
  <si>
    <t>IRS Calculations</t>
  </si>
  <si>
    <t>License Valid Until:</t>
  </si>
  <si>
    <r>
      <t xml:space="preserve">Fill in row by row.  Inputs are always </t>
    </r>
    <r>
      <rPr>
        <sz val="16"/>
        <color rgb="FFFF0000"/>
        <rFont val="Calibri"/>
        <family val="2"/>
        <scheme val="minor"/>
      </rPr>
      <t>Red</t>
    </r>
    <r>
      <rPr>
        <sz val="16"/>
        <color theme="1"/>
        <rFont val="Calibri"/>
        <family val="2"/>
        <scheme val="minor"/>
      </rPr>
      <t>. Click description for Tips &amp; Guidance.</t>
    </r>
  </si>
  <si>
    <t>Real Estate 
Expenses</t>
  </si>
  <si>
    <t>Total Real Estate Expenses</t>
  </si>
  <si>
    <r>
      <t xml:space="preserve">Dashboard  </t>
    </r>
    <r>
      <rPr>
        <b/>
        <i/>
        <sz val="14"/>
        <color theme="1"/>
        <rFont val="Calibri"/>
        <family val="2"/>
        <scheme val="minor"/>
      </rPr>
      <t>(Warning: Spreadsheet is in Beta Testing)</t>
    </r>
  </si>
  <si>
    <t>TERMS &amp; CONDITIONS</t>
  </si>
  <si>
    <t>&lt;- Extra columns provided</t>
  </si>
  <si>
    <t>Investment Income</t>
  </si>
  <si>
    <t>Credit / Debit</t>
  </si>
  <si>
    <t>Serial#</t>
  </si>
  <si>
    <t>Message:</t>
  </si>
  <si>
    <t>Sum Tax-Deferred(True):</t>
  </si>
  <si>
    <t>Sum Tax-Deferred(False):</t>
  </si>
  <si>
    <t>Taxable Investment 
Balances</t>
  </si>
  <si>
    <t>Home Cap Gain Allowance:</t>
  </si>
  <si>
    <t>Net Worth</t>
  </si>
  <si>
    <t xml:space="preserve">Loan to Value, is the Loan Amount / Property Value.  This is typically 80% when you first take out a mortgage, but goes down as you get closer to maturity.  Enter the # that provides your mortgage balance on the RealEstate tab.  ** IMPORTANT **: You must enter your current actual mortgage balance (LTV) at the start of the planner (Year 0). The system then assumes that the HomeValue - LoanBalance is Equity that you already own. </t>
  </si>
  <si>
    <t>At what age will you buy this home?  
**  Important** Enter 0 if you currently own the home.  Then enter your CURRENT loan balance as an LTV (see below).</t>
  </si>
  <si>
    <t>At Age:</t>
  </si>
  <si>
    <t>Annual Savings</t>
  </si>
  <si>
    <t>Is this account Tax Deferred?  You MUST have at least one Taxable and one Tax-Deferred Investment.</t>
  </si>
  <si>
    <t>The portfolios are separated into Taxable and Tax-Deferred. Thus, it is important that the Rebalance Targets add up to 100% for each of those portfolios.  See the example as the spreadsheet was downloaded.  Each year, the portfolio will be rebalanced.  The purpose of this is that if you start with 50% Stocks and 50% Bonds, but stocks grow 3x in value, you will now have 75% Stocks and 25% Bonds.  The spreadsheet will sell stocks and buy bonds, until the portfolio is rebalance at 50/50 in this example. It considers the Taxable and the Tax-Deferred as two separate portfolios, and rebalances each independently.</t>
  </si>
  <si>
    <t>Taxable Capital Gain</t>
  </si>
  <si>
    <t>Current
Spending</t>
  </si>
  <si>
    <t>Purchase &amp; Sale after Expenses</t>
  </si>
  <si>
    <t>Seller Expenses:</t>
  </si>
  <si>
    <t>Buyer Expenses:</t>
  </si>
  <si>
    <t>401k Early Withdrawal Penalties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</si>
</sst>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
    <numFmt numFmtId="166" formatCode="&quot;$&quot;#,##0.00"/>
  </numFmts>
  <fonts count="35" x14ac:knownFonts="1">
    <font>
      <sz val="11"/>
      <color theme="1"/>
      <name val="Calibri"/>
      <family val="2"/>
      <scheme val="minor"/>
    </font>
    <font>
      <sz val="11"/>
      <color theme="1"/>
      <name val="Calibri"/>
      <family val="2"/>
      <scheme val="minor"/>
    </font>
    <font>
      <sz val="11"/>
      <color rgb="FFFF0000"/>
      <name val="Calibri"/>
      <family val="2"/>
      <scheme val="minor"/>
    </font>
    <font>
      <sz val="6"/>
      <color theme="1"/>
      <name val="Calibri"/>
      <family val="2"/>
      <scheme val="minor"/>
    </font>
    <font>
      <b/>
      <sz val="13"/>
      <color theme="1"/>
      <name val="Calibri"/>
      <family val="2"/>
      <scheme val="minor"/>
    </font>
    <font>
      <sz val="16"/>
      <color theme="1"/>
      <name val="Calibri"/>
      <family val="2"/>
      <scheme val="minor"/>
    </font>
    <font>
      <b/>
      <i/>
      <sz val="22"/>
      <color theme="1"/>
      <name val="Calibri"/>
      <family val="2"/>
      <scheme val="minor"/>
    </font>
    <font>
      <b/>
      <u/>
      <sz val="11"/>
      <color theme="1"/>
      <name val="Calibri"/>
      <family val="2"/>
      <scheme val="minor"/>
    </font>
    <font>
      <sz val="9"/>
      <color theme="1"/>
      <name val="Calibri"/>
      <family val="2"/>
      <scheme val="minor"/>
    </font>
    <font>
      <i/>
      <sz val="11"/>
      <color theme="1"/>
      <name val="Calibri"/>
      <family val="2"/>
      <scheme val="minor"/>
    </font>
    <font>
      <i/>
      <sz val="14"/>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b/>
      <sz val="14"/>
      <name val="Calibri"/>
      <family val="2"/>
      <scheme val="minor"/>
    </font>
    <font>
      <b/>
      <u/>
      <sz val="14"/>
      <name val="Calibri"/>
      <family val="2"/>
      <scheme val="minor"/>
    </font>
    <font>
      <b/>
      <sz val="18"/>
      <name val="Calibri"/>
      <family val="2"/>
      <scheme val="minor"/>
    </font>
    <font>
      <sz val="18"/>
      <color theme="1"/>
      <name val="Calibri"/>
      <family val="2"/>
      <scheme val="minor"/>
    </font>
    <font>
      <b/>
      <sz val="18"/>
      <color theme="1"/>
      <name val="Calibri"/>
      <family val="2"/>
      <scheme val="minor"/>
    </font>
    <font>
      <b/>
      <sz val="24"/>
      <color theme="1"/>
      <name val="Calibri"/>
      <family val="2"/>
      <scheme val="minor"/>
    </font>
    <font>
      <sz val="14"/>
      <color theme="1"/>
      <name val="Calibri"/>
      <family val="2"/>
      <scheme val="minor"/>
    </font>
    <font>
      <sz val="14"/>
      <name val="Calibri"/>
      <family val="2"/>
      <scheme val="minor"/>
    </font>
    <font>
      <b/>
      <u/>
      <sz val="11"/>
      <name val="Calibri"/>
      <family val="2"/>
      <scheme val="minor"/>
    </font>
    <font>
      <b/>
      <i/>
      <sz val="11"/>
      <color theme="3" tint="0.39997558519241921"/>
      <name val="Calibri"/>
      <family val="2"/>
      <scheme val="minor"/>
    </font>
    <font>
      <u/>
      <sz val="11"/>
      <color theme="10"/>
      <name val="Calibri"/>
      <family val="2"/>
      <scheme val="minor"/>
    </font>
    <font>
      <b/>
      <i/>
      <sz val="16"/>
      <color theme="1"/>
      <name val="Calibri"/>
      <family val="2"/>
      <scheme val="minor"/>
    </font>
    <font>
      <sz val="12"/>
      <color theme="1"/>
      <name val="Calibri"/>
      <family val="2"/>
      <scheme val="minor"/>
    </font>
    <font>
      <sz val="8"/>
      <name val="Calibri"/>
      <family val="2"/>
      <scheme val="minor"/>
    </font>
    <font>
      <sz val="8"/>
      <color theme="1"/>
      <name val="Calibri"/>
      <family val="2"/>
      <scheme val="minor"/>
    </font>
    <font>
      <sz val="6"/>
      <name val="Calibri"/>
      <family val="2"/>
      <scheme val="minor"/>
    </font>
    <font>
      <sz val="24"/>
      <color theme="1"/>
      <name val="Calibri"/>
      <family val="2"/>
      <scheme val="minor"/>
    </font>
    <font>
      <sz val="16"/>
      <color rgb="FFFF0000"/>
      <name val="Calibri"/>
      <family val="2"/>
      <scheme val="minor"/>
    </font>
    <font>
      <i/>
      <sz val="22"/>
      <color theme="1"/>
      <name val="Calibri"/>
      <family val="2"/>
      <scheme val="minor"/>
    </font>
    <font>
      <b/>
      <i/>
      <sz val="14"/>
      <color theme="1"/>
      <name val="Calibri"/>
      <family val="2"/>
      <scheme val="minor"/>
    </font>
    <font>
      <sz val="14"/>
      <color rgb="FFFF0000"/>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4" fillId="0" borderId="0" applyNumberFormat="0" applyFill="0" applyBorder="0" applyAlignment="0" applyProtection="0"/>
  </cellStyleXfs>
  <cellXfs count="267">
    <xf numFmtId="0" fontId="0" fillId="0" borderId="0" xfId="0"/>
    <xf numFmtId="3" fontId="0" fillId="0" borderId="0" xfId="0" applyNumberFormat="1" applyAlignment="1">
      <alignment horizontal="center"/>
    </xf>
    <xf numFmtId="4" fontId="0" fillId="0" borderId="0" xfId="0" applyNumberFormat="1" applyAlignment="1">
      <alignment horizontal="center"/>
    </xf>
    <xf numFmtId="10" fontId="0" fillId="0" borderId="0" xfId="1" applyNumberFormat="1" applyFont="1" applyAlignment="1">
      <alignment horizontal="center"/>
    </xf>
    <xf numFmtId="0" fontId="0" fillId="3" borderId="0" xfId="0" applyFill="1" applyAlignment="1">
      <alignment horizontal="center"/>
    </xf>
    <xf numFmtId="3" fontId="0" fillId="3" borderId="0" xfId="0" applyNumberFormat="1" applyFill="1" applyAlignment="1">
      <alignment horizontal="center"/>
    </xf>
    <xf numFmtId="0" fontId="0" fillId="0" borderId="0" xfId="0" applyAlignment="1">
      <alignment horizontal="center"/>
    </xf>
    <xf numFmtId="0" fontId="0" fillId="5" borderId="1" xfId="0" applyFill="1" applyBorder="1" applyAlignment="1">
      <alignment horizontal="right"/>
    </xf>
    <xf numFmtId="0" fontId="0" fillId="5" borderId="0" xfId="0" applyFill="1" applyAlignment="1">
      <alignment horizontal="center"/>
    </xf>
    <xf numFmtId="3" fontId="0" fillId="5" borderId="0" xfId="0" applyNumberFormat="1" applyFill="1" applyAlignment="1">
      <alignment horizontal="center"/>
    </xf>
    <xf numFmtId="0" fontId="0" fillId="5" borderId="0" xfId="0" applyFill="1" applyBorder="1" applyAlignment="1">
      <alignment horizontal="right" wrapText="1"/>
    </xf>
    <xf numFmtId="0" fontId="6" fillId="0" borderId="0" xfId="0" applyFont="1"/>
    <xf numFmtId="0" fontId="0" fillId="5" borderId="3" xfId="0" applyFill="1" applyBorder="1" applyAlignment="1">
      <alignment horizontal="right"/>
    </xf>
    <xf numFmtId="0" fontId="0" fillId="5" borderId="3" xfId="0" applyFill="1" applyBorder="1" applyAlignment="1">
      <alignment horizontal="right" wrapText="1"/>
    </xf>
    <xf numFmtId="0" fontId="0" fillId="5" borderId="5" xfId="0" applyFill="1" applyBorder="1" applyAlignment="1">
      <alignment horizontal="center"/>
    </xf>
    <xf numFmtId="0" fontId="0" fillId="5" borderId="6" xfId="0" applyFill="1" applyBorder="1" applyAlignment="1">
      <alignment horizontal="center"/>
    </xf>
    <xf numFmtId="0" fontId="0" fillId="0" borderId="2" xfId="0" applyBorder="1"/>
    <xf numFmtId="3" fontId="0" fillId="5" borderId="2" xfId="0" applyNumberFormat="1" applyFill="1" applyBorder="1" applyAlignment="1">
      <alignment horizontal="center"/>
    </xf>
    <xf numFmtId="10" fontId="2" fillId="0" borderId="0" xfId="1" applyNumberFormat="1" applyFont="1" applyBorder="1" applyAlignment="1">
      <alignment horizontal="center"/>
    </xf>
    <xf numFmtId="0" fontId="7" fillId="6" borderId="4" xfId="0" applyFont="1" applyFill="1" applyBorder="1" applyAlignment="1">
      <alignment horizontal="center"/>
    </xf>
    <xf numFmtId="3" fontId="0" fillId="5" borderId="5" xfId="0" applyNumberFormat="1" applyFill="1" applyBorder="1" applyAlignment="1">
      <alignment horizontal="center"/>
    </xf>
    <xf numFmtId="0" fontId="7" fillId="6" borderId="5" xfId="0" applyFont="1" applyFill="1" applyBorder="1" applyAlignment="1">
      <alignment horizontal="center" wrapText="1"/>
    </xf>
    <xf numFmtId="0" fontId="0" fillId="5" borderId="0" xfId="0" applyFill="1" applyBorder="1" applyAlignment="1">
      <alignment horizontal="center"/>
    </xf>
    <xf numFmtId="3" fontId="0" fillId="5" borderId="0" xfId="0" applyNumberFormat="1" applyFill="1" applyBorder="1" applyAlignment="1">
      <alignment horizontal="center"/>
    </xf>
    <xf numFmtId="0" fontId="0" fillId="8" borderId="0" xfId="0" applyFill="1" applyAlignment="1">
      <alignment horizontal="center"/>
    </xf>
    <xf numFmtId="10" fontId="0" fillId="8" borderId="0" xfId="1" applyNumberFormat="1" applyFont="1" applyFill="1" applyAlignment="1">
      <alignment horizontal="center"/>
    </xf>
    <xf numFmtId="0" fontId="0" fillId="8" borderId="0" xfId="0" applyFill="1"/>
    <xf numFmtId="0" fontId="2" fillId="0" borderId="0" xfId="0" applyFont="1"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10" fontId="0" fillId="0" borderId="0" xfId="1" applyNumberFormat="1" applyFont="1" applyBorder="1" applyAlignment="1">
      <alignment horizontal="center"/>
    </xf>
    <xf numFmtId="0" fontId="0" fillId="7" borderId="0" xfId="0" applyFill="1" applyAlignment="1">
      <alignment horizontal="center" wrapText="1"/>
    </xf>
    <xf numFmtId="3" fontId="0" fillId="7" borderId="0" xfId="0" applyNumberFormat="1" applyFill="1" applyAlignment="1">
      <alignment horizontal="center"/>
    </xf>
    <xf numFmtId="0" fontId="0" fillId="3" borderId="0" xfId="0" applyFill="1" applyAlignment="1">
      <alignment horizontal="center" wrapText="1"/>
    </xf>
    <xf numFmtId="10" fontId="3" fillId="0" borderId="0" xfId="0" applyNumberFormat="1" applyFont="1"/>
    <xf numFmtId="0" fontId="0" fillId="5" borderId="0" xfId="0" applyFill="1" applyAlignment="1">
      <alignment horizontal="center" wrapText="1"/>
    </xf>
    <xf numFmtId="0" fontId="0" fillId="7" borderId="0" xfId="0" applyFill="1" applyAlignment="1">
      <alignment horizontal="center"/>
    </xf>
    <xf numFmtId="10" fontId="3" fillId="0" borderId="0" xfId="0" applyNumberFormat="1" applyFont="1" applyAlignment="1">
      <alignment wrapText="1"/>
    </xf>
    <xf numFmtId="164" fontId="0" fillId="5" borderId="5" xfId="1" applyNumberFormat="1" applyFont="1" applyFill="1" applyBorder="1" applyAlignment="1">
      <alignment horizontal="center"/>
    </xf>
    <xf numFmtId="1" fontId="0" fillId="5" borderId="5" xfId="0" applyNumberFormat="1" applyFill="1" applyBorder="1" applyAlignment="1">
      <alignment horizontal="center"/>
    </xf>
    <xf numFmtId="0" fontId="2" fillId="8" borderId="0" xfId="0" applyFont="1" applyFill="1"/>
    <xf numFmtId="3" fontId="12" fillId="0" borderId="1" xfId="1" applyNumberFormat="1" applyFont="1" applyBorder="1" applyAlignment="1">
      <alignment horizontal="center"/>
    </xf>
    <xf numFmtId="0" fontId="0" fillId="10" borderId="3" xfId="0" applyFill="1" applyBorder="1" applyAlignment="1">
      <alignment horizontal="right" wrapText="1"/>
    </xf>
    <xf numFmtId="3" fontId="0" fillId="5" borderId="0" xfId="0" quotePrefix="1" applyNumberFormat="1" applyFill="1" applyBorder="1" applyAlignment="1">
      <alignment horizontal="center"/>
    </xf>
    <xf numFmtId="3" fontId="0" fillId="5" borderId="9" xfId="0" applyNumberFormat="1" applyFill="1" applyBorder="1" applyAlignment="1">
      <alignment horizontal="center"/>
    </xf>
    <xf numFmtId="0" fontId="7" fillId="11" borderId="4" xfId="0" applyFont="1" applyFill="1" applyBorder="1" applyAlignment="1">
      <alignment horizontal="center" wrapText="1"/>
    </xf>
    <xf numFmtId="0" fontId="7" fillId="11" borderId="7" xfId="0" applyFont="1" applyFill="1" applyBorder="1" applyAlignment="1">
      <alignment horizontal="center" wrapText="1"/>
    </xf>
    <xf numFmtId="0" fontId="7" fillId="11" borderId="8" xfId="0" applyFont="1" applyFill="1" applyBorder="1" applyAlignment="1">
      <alignment horizontal="center" wrapText="1"/>
    </xf>
    <xf numFmtId="0" fontId="7" fillId="11" borderId="0" xfId="0" applyFont="1" applyFill="1" applyBorder="1" applyAlignment="1">
      <alignment horizontal="center" wrapText="1"/>
    </xf>
    <xf numFmtId="0" fontId="11" fillId="0" borderId="0" xfId="0" applyFont="1"/>
    <xf numFmtId="0" fontId="7" fillId="11" borderId="8" xfId="0" applyFont="1" applyFill="1" applyBorder="1" applyAlignment="1">
      <alignment horizontal="center"/>
    </xf>
    <xf numFmtId="3" fontId="11" fillId="5" borderId="9" xfId="0" applyNumberFormat="1" applyFont="1" applyFill="1" applyBorder="1" applyAlignment="1">
      <alignment horizontal="center"/>
    </xf>
    <xf numFmtId="0" fontId="13" fillId="7" borderId="1" xfId="0" applyFont="1" applyFill="1" applyBorder="1" applyAlignment="1">
      <alignment horizontal="center"/>
    </xf>
    <xf numFmtId="3" fontId="0" fillId="5" borderId="9" xfId="0" applyNumberFormat="1" applyFont="1" applyFill="1" applyBorder="1" applyAlignment="1">
      <alignment horizontal="center"/>
    </xf>
    <xf numFmtId="0" fontId="0" fillId="12" borderId="0" xfId="0" applyFill="1"/>
    <xf numFmtId="10" fontId="12" fillId="0" borderId="1" xfId="1" applyNumberFormat="1" applyFont="1" applyBorder="1" applyAlignment="1">
      <alignment horizontal="center"/>
    </xf>
    <xf numFmtId="0" fontId="12" fillId="0" borderId="1" xfId="0" applyFont="1" applyBorder="1" applyAlignment="1">
      <alignment horizontal="center" wrapText="1"/>
    </xf>
    <xf numFmtId="165" fontId="12" fillId="0" borderId="1" xfId="0" applyNumberFormat="1" applyFont="1" applyBorder="1" applyAlignment="1">
      <alignment horizontal="center"/>
    </xf>
    <xf numFmtId="4" fontId="12" fillId="0" borderId="0" xfId="0" applyNumberFormat="1" applyFont="1" applyAlignment="1">
      <alignment horizontal="center"/>
    </xf>
    <xf numFmtId="0" fontId="19" fillId="0" borderId="0" xfId="0" applyFont="1"/>
    <xf numFmtId="0" fontId="6"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3" fontId="12" fillId="0" borderId="1" xfId="0" applyNumberFormat="1" applyFont="1" applyBorder="1" applyAlignment="1">
      <alignment horizontal="center"/>
    </xf>
    <xf numFmtId="0" fontId="0" fillId="12" borderId="0" xfId="0" applyFill="1" applyAlignment="1">
      <alignment horizontal="right"/>
    </xf>
    <xf numFmtId="0" fontId="11" fillId="11" borderId="4" xfId="0" applyFont="1" applyFill="1" applyBorder="1" applyAlignment="1">
      <alignment horizontal="center" wrapText="1"/>
    </xf>
    <xf numFmtId="0" fontId="12" fillId="8" borderId="0" xfId="0" applyFont="1" applyFill="1"/>
    <xf numFmtId="0" fontId="12" fillId="0" borderId="0" xfId="0" applyFont="1" applyAlignment="1">
      <alignment horizontal="center"/>
    </xf>
    <xf numFmtId="3" fontId="12" fillId="0" borderId="0" xfId="0" applyNumberFormat="1" applyFont="1" applyAlignment="1">
      <alignment horizontal="center"/>
    </xf>
    <xf numFmtId="0" fontId="12" fillId="7" borderId="0" xfId="0" applyFont="1" applyFill="1" applyAlignment="1">
      <alignment horizontal="center" wrapText="1"/>
    </xf>
    <xf numFmtId="0" fontId="12" fillId="7" borderId="0" xfId="0" applyFont="1" applyFill="1" applyAlignment="1">
      <alignment horizontal="center"/>
    </xf>
    <xf numFmtId="3" fontId="12" fillId="7" borderId="0" xfId="0" applyNumberFormat="1" applyFont="1" applyFill="1" applyAlignment="1">
      <alignment horizontal="center"/>
    </xf>
    <xf numFmtId="0" fontId="0" fillId="13" borderId="0" xfId="0" applyFill="1" applyAlignment="1">
      <alignment horizontal="center" wrapText="1"/>
    </xf>
    <xf numFmtId="0" fontId="0" fillId="13" borderId="0" xfId="0" applyFill="1" applyAlignment="1">
      <alignment horizontal="center"/>
    </xf>
    <xf numFmtId="3" fontId="0" fillId="13" borderId="0" xfId="0" applyNumberFormat="1" applyFill="1" applyAlignment="1">
      <alignment horizontal="center"/>
    </xf>
    <xf numFmtId="0" fontId="0" fillId="0" borderId="0" xfId="0" applyAlignment="1">
      <alignment horizontal="right"/>
    </xf>
    <xf numFmtId="0" fontId="12" fillId="10" borderId="0" xfId="0" applyFont="1" applyFill="1" applyAlignment="1">
      <alignment horizontal="center" wrapText="1"/>
    </xf>
    <xf numFmtId="3" fontId="12" fillId="10" borderId="0" xfId="0" applyNumberFormat="1" applyFont="1" applyFill="1" applyAlignment="1">
      <alignment horizontal="center"/>
    </xf>
    <xf numFmtId="0" fontId="4" fillId="4" borderId="0" xfId="0" applyFont="1" applyFill="1" applyAlignment="1">
      <alignment horizontal="center" wrapText="1"/>
    </xf>
    <xf numFmtId="0" fontId="7" fillId="14" borderId="3" xfId="0" applyFont="1" applyFill="1" applyBorder="1"/>
    <xf numFmtId="0" fontId="0" fillId="3" borderId="4" xfId="0" applyFill="1" applyBorder="1" applyAlignment="1">
      <alignment horizontal="right"/>
    </xf>
    <xf numFmtId="0" fontId="0" fillId="3" borderId="5" xfId="0" applyFill="1" applyBorder="1" applyAlignment="1">
      <alignment horizontal="right"/>
    </xf>
    <xf numFmtId="0" fontId="0" fillId="3" borderId="6" xfId="0" applyFill="1" applyBorder="1" applyAlignment="1">
      <alignment horizontal="right"/>
    </xf>
    <xf numFmtId="10" fontId="12" fillId="0" borderId="0" xfId="1" applyNumberFormat="1" applyFont="1" applyAlignment="1">
      <alignment horizontal="center"/>
    </xf>
    <xf numFmtId="9" fontId="12" fillId="0" borderId="0" xfId="1" applyFont="1" applyAlignment="1">
      <alignment horizontal="center"/>
    </xf>
    <xf numFmtId="0" fontId="14" fillId="11" borderId="0" xfId="0" applyFont="1" applyFill="1" applyAlignment="1">
      <alignment horizontal="center" vertical="center" wrapText="1"/>
    </xf>
    <xf numFmtId="0" fontId="11" fillId="3" borderId="5" xfId="0" applyFont="1" applyFill="1" applyBorder="1" applyAlignment="1">
      <alignment horizontal="center" wrapText="1"/>
    </xf>
    <xf numFmtId="3" fontId="2" fillId="0" borderId="0" xfId="0" applyNumberFormat="1" applyFont="1" applyBorder="1" applyAlignment="1">
      <alignment horizontal="center"/>
    </xf>
    <xf numFmtId="10" fontId="0" fillId="16" borderId="0" xfId="1" applyNumberFormat="1" applyFont="1" applyFill="1" applyAlignment="1">
      <alignment horizontal="center"/>
    </xf>
    <xf numFmtId="0" fontId="0" fillId="16" borderId="0" xfId="0" applyFill="1" applyAlignment="1">
      <alignment horizontal="center"/>
    </xf>
    <xf numFmtId="3" fontId="0" fillId="16" borderId="0" xfId="0" applyNumberFormat="1" applyFill="1" applyAlignment="1">
      <alignment horizontal="center"/>
    </xf>
    <xf numFmtId="14" fontId="0" fillId="0" borderId="0" xfId="0" applyNumberFormat="1"/>
    <xf numFmtId="0" fontId="2" fillId="0" borderId="0" xfId="0" applyFont="1"/>
    <xf numFmtId="0" fontId="0" fillId="2" borderId="0" xfId="0" applyFill="1" applyAlignment="1">
      <alignment horizontal="right"/>
    </xf>
    <xf numFmtId="0" fontId="0" fillId="2" borderId="0" xfId="0" applyFill="1"/>
    <xf numFmtId="0" fontId="5" fillId="0" borderId="0" xfId="0" applyFont="1" applyAlignment="1">
      <alignment horizontal="center"/>
    </xf>
    <xf numFmtId="10" fontId="11" fillId="16" borderId="0" xfId="1" applyNumberFormat="1" applyFont="1" applyFill="1" applyAlignment="1">
      <alignment horizontal="center" vertical="center" wrapText="1"/>
    </xf>
    <xf numFmtId="0" fontId="0" fillId="0" borderId="6" xfId="0" applyBorder="1" applyAlignment="1">
      <alignment horizontal="right"/>
    </xf>
    <xf numFmtId="0" fontId="0" fillId="0" borderId="5" xfId="0" applyBorder="1"/>
    <xf numFmtId="4" fontId="0" fillId="0" borderId="9" xfId="0" applyNumberFormat="1" applyBorder="1"/>
    <xf numFmtId="4" fontId="0" fillId="0" borderId="11" xfId="0" applyNumberFormat="1" applyBorder="1"/>
    <xf numFmtId="0" fontId="0" fillId="5" borderId="4" xfId="0" applyFill="1" applyBorder="1"/>
    <xf numFmtId="0" fontId="0" fillId="5" borderId="8" xfId="0" applyFill="1" applyBorder="1" applyAlignment="1">
      <alignment horizontal="center"/>
    </xf>
    <xf numFmtId="0" fontId="0" fillId="5" borderId="6" xfId="0" applyFill="1" applyBorder="1" applyAlignment="1">
      <alignment horizontal="right"/>
    </xf>
    <xf numFmtId="0" fontId="0" fillId="7" borderId="3" xfId="0" applyFill="1" applyBorder="1" applyAlignment="1">
      <alignment horizontal="right"/>
    </xf>
    <xf numFmtId="3" fontId="0" fillId="7" borderId="12" xfId="0" applyNumberFormat="1" applyFill="1" applyBorder="1"/>
    <xf numFmtId="3" fontId="2" fillId="5" borderId="11" xfId="0" applyNumberFormat="1" applyFont="1" applyFill="1" applyBorder="1"/>
    <xf numFmtId="0" fontId="23" fillId="0" borderId="0" xfId="0" applyFont="1" applyAlignment="1">
      <alignment vertical="top"/>
    </xf>
    <xf numFmtId="0" fontId="24" fillId="0" borderId="1" xfId="2" applyBorder="1" applyAlignment="1">
      <alignment vertical="top"/>
    </xf>
    <xf numFmtId="0" fontId="24" fillId="0" borderId="1" xfId="2" applyBorder="1" applyAlignment="1">
      <alignment vertical="top" wrapText="1"/>
    </xf>
    <xf numFmtId="0" fontId="25" fillId="7" borderId="3" xfId="0" applyFont="1" applyFill="1" applyBorder="1" applyAlignment="1">
      <alignment vertical="top"/>
    </xf>
    <xf numFmtId="0" fontId="17" fillId="15" borderId="0" xfId="0" applyFont="1" applyFill="1"/>
    <xf numFmtId="0" fontId="25" fillId="7" borderId="4" xfId="0" applyFont="1" applyFill="1" applyBorder="1" applyAlignment="1">
      <alignment vertical="top"/>
    </xf>
    <xf numFmtId="0" fontId="26" fillId="7" borderId="6" xfId="0" applyFont="1" applyFill="1" applyBorder="1" applyAlignment="1">
      <alignment vertical="top"/>
    </xf>
    <xf numFmtId="0" fontId="24" fillId="16" borderId="1" xfId="2" applyFill="1" applyBorder="1" applyAlignment="1">
      <alignment vertical="top"/>
    </xf>
    <xf numFmtId="0" fontId="24" fillId="0" borderId="13" xfId="2" applyBorder="1" applyAlignment="1">
      <alignment vertical="top"/>
    </xf>
    <xf numFmtId="0" fontId="18" fillId="15" borderId="0" xfId="0" applyFont="1" applyFill="1" applyAlignment="1">
      <alignment horizontal="center" vertical="center"/>
    </xf>
    <xf numFmtId="0" fontId="0" fillId="0" borderId="1" xfId="0" applyBorder="1" applyAlignment="1">
      <alignment vertical="top" wrapText="1"/>
    </xf>
    <xf numFmtId="0" fontId="0" fillId="15" borderId="0" xfId="0" applyFill="1" applyAlignment="1">
      <alignment vertical="top" wrapText="1"/>
    </xf>
    <xf numFmtId="0" fontId="0" fillId="7" borderId="12" xfId="0" applyFill="1" applyBorder="1" applyAlignment="1">
      <alignment vertical="top" wrapText="1"/>
    </xf>
    <xf numFmtId="0" fontId="0" fillId="0" borderId="0" xfId="0" applyAlignment="1">
      <alignment vertical="top" wrapText="1"/>
    </xf>
    <xf numFmtId="0" fontId="0" fillId="7" borderId="8" xfId="0" applyFill="1" applyBorder="1" applyAlignment="1">
      <alignment vertical="top" wrapText="1"/>
    </xf>
    <xf numFmtId="0" fontId="0" fillId="7" borderId="11" xfId="0" applyFill="1" applyBorder="1" applyAlignment="1">
      <alignment vertical="top" wrapText="1"/>
    </xf>
    <xf numFmtId="0" fontId="0" fillId="16" borderId="1" xfId="0" applyFill="1" applyBorder="1" applyAlignment="1">
      <alignment vertical="top" wrapText="1"/>
    </xf>
    <xf numFmtId="0" fontId="0" fillId="0" borderId="13" xfId="0" applyBorder="1" applyAlignment="1">
      <alignment vertical="top" wrapText="1"/>
    </xf>
    <xf numFmtId="0" fontId="18" fillId="15" borderId="0" xfId="0" applyFont="1" applyFill="1" applyAlignment="1">
      <alignment horizontal="center" vertical="center"/>
    </xf>
    <xf numFmtId="0" fontId="20" fillId="7" borderId="0" xfId="0" applyFont="1" applyFill="1" applyAlignment="1">
      <alignment horizontal="center"/>
    </xf>
    <xf numFmtId="4" fontId="27" fillId="7" borderId="9" xfId="1" applyNumberFormat="1" applyFont="1" applyFill="1" applyBorder="1" applyAlignment="1">
      <alignment horizontal="center"/>
    </xf>
    <xf numFmtId="0" fontId="28" fillId="14" borderId="12" xfId="0" applyFont="1" applyFill="1" applyBorder="1" applyAlignment="1">
      <alignment horizontal="center"/>
    </xf>
    <xf numFmtId="0" fontId="22" fillId="14" borderId="15" xfId="0" applyFont="1" applyFill="1" applyBorder="1"/>
    <xf numFmtId="4" fontId="27" fillId="7" borderId="0" xfId="1" applyNumberFormat="1" applyFont="1" applyFill="1" applyBorder="1" applyAlignment="1">
      <alignment horizontal="center"/>
    </xf>
    <xf numFmtId="0" fontId="0" fillId="14" borderId="15" xfId="0" applyFill="1" applyBorder="1"/>
    <xf numFmtId="4" fontId="27" fillId="7" borderId="11" xfId="1" applyNumberFormat="1" applyFont="1" applyFill="1" applyBorder="1" applyAlignment="1">
      <alignment horizontal="center"/>
    </xf>
    <xf numFmtId="0" fontId="28" fillId="14" borderId="15" xfId="0" applyFont="1" applyFill="1" applyBorder="1" applyAlignment="1">
      <alignment horizontal="center"/>
    </xf>
    <xf numFmtId="4" fontId="27" fillId="7" borderId="10" xfId="1" applyNumberFormat="1" applyFont="1" applyFill="1" applyBorder="1" applyAlignment="1">
      <alignment horizontal="center"/>
    </xf>
    <xf numFmtId="0" fontId="0" fillId="0" borderId="14" xfId="0" applyBorder="1" applyAlignment="1">
      <alignment horizontal="center"/>
    </xf>
    <xf numFmtId="0" fontId="7" fillId="14" borderId="1" xfId="0" applyFont="1" applyFill="1" applyBorder="1"/>
    <xf numFmtId="0" fontId="0" fillId="0" borderId="2" xfId="0" applyBorder="1" applyAlignment="1">
      <alignment horizontal="center"/>
    </xf>
    <xf numFmtId="0" fontId="18" fillId="15" borderId="2" xfId="0" applyFont="1" applyFill="1" applyBorder="1" applyAlignment="1">
      <alignment horizontal="center" vertical="center"/>
    </xf>
    <xf numFmtId="0" fontId="0" fillId="0" borderId="0" xfId="0" applyAlignment="1">
      <alignment horizontal="left"/>
    </xf>
    <xf numFmtId="0" fontId="0" fillId="0" borderId="0" xfId="0" quotePrefix="1" applyAlignment="1">
      <alignment horizontal="left"/>
    </xf>
    <xf numFmtId="0" fontId="0" fillId="0" borderId="0" xfId="0" quotePrefix="1"/>
    <xf numFmtId="3" fontId="9" fillId="5" borderId="0" xfId="0" applyNumberFormat="1" applyFont="1" applyFill="1" applyAlignment="1">
      <alignment horizontal="center"/>
    </xf>
    <xf numFmtId="0" fontId="0" fillId="14" borderId="0" xfId="0" applyFill="1" applyAlignment="1">
      <alignment horizontal="center" wrapText="1"/>
    </xf>
    <xf numFmtId="0" fontId="0" fillId="14" borderId="0" xfId="0" applyFill="1" applyAlignment="1">
      <alignment horizontal="center"/>
    </xf>
    <xf numFmtId="3" fontId="0" fillId="14" borderId="0" xfId="0" applyNumberFormat="1" applyFill="1" applyAlignment="1">
      <alignment horizontal="center"/>
    </xf>
    <xf numFmtId="3" fontId="0" fillId="14" borderId="2" xfId="0" applyNumberFormat="1" applyFill="1" applyBorder="1" applyAlignment="1">
      <alignment horizontal="center"/>
    </xf>
    <xf numFmtId="0" fontId="0" fillId="0" borderId="8" xfId="0" applyBorder="1"/>
    <xf numFmtId="0" fontId="12" fillId="0" borderId="0" xfId="0" applyFont="1"/>
    <xf numFmtId="0" fontId="12" fillId="5" borderId="1" xfId="0" applyFont="1" applyFill="1" applyBorder="1" applyAlignment="1">
      <alignment horizontal="right"/>
    </xf>
    <xf numFmtId="0" fontId="12" fillId="0" borderId="1" xfId="0" applyFont="1" applyBorder="1" applyAlignment="1">
      <alignment horizontal="center"/>
    </xf>
    <xf numFmtId="0" fontId="12" fillId="0" borderId="0" xfId="0" applyFont="1" applyBorder="1" applyAlignment="1">
      <alignment horizontal="center"/>
    </xf>
    <xf numFmtId="3" fontId="12" fillId="0" borderId="0" xfId="0" applyNumberFormat="1" applyFont="1" applyBorder="1" applyAlignment="1">
      <alignment horizontal="center"/>
    </xf>
    <xf numFmtId="10" fontId="12" fillId="0" borderId="0" xfId="1" applyNumberFormat="1" applyFont="1" applyBorder="1" applyAlignment="1">
      <alignment horizontal="center"/>
    </xf>
    <xf numFmtId="10" fontId="29" fillId="0" borderId="0" xfId="0" applyNumberFormat="1" applyFont="1" applyAlignment="1">
      <alignment wrapText="1"/>
    </xf>
    <xf numFmtId="10" fontId="29" fillId="0" borderId="0" xfId="0" applyNumberFormat="1" applyFont="1"/>
    <xf numFmtId="0" fontId="0" fillId="6" borderId="4" xfId="0" applyFill="1" applyBorder="1" applyAlignment="1">
      <alignment horizontal="right"/>
    </xf>
    <xf numFmtId="0" fontId="0" fillId="6" borderId="6" xfId="0" applyFill="1" applyBorder="1" applyAlignment="1">
      <alignment horizontal="right"/>
    </xf>
    <xf numFmtId="14" fontId="0" fillId="6" borderId="11" xfId="0" applyNumberFormat="1" applyFill="1" applyBorder="1" applyAlignment="1">
      <alignment horizontal="left"/>
    </xf>
    <xf numFmtId="3" fontId="0" fillId="0" borderId="0" xfId="0" applyNumberFormat="1"/>
    <xf numFmtId="10" fontId="2" fillId="0" borderId="1" xfId="1" applyNumberFormat="1" applyFont="1" applyFill="1" applyBorder="1" applyAlignment="1" applyProtection="1">
      <alignment horizontal="center"/>
      <protection locked="0"/>
    </xf>
    <xf numFmtId="3" fontId="2" fillId="0" borderId="1" xfId="0" applyNumberFormat="1" applyFont="1" applyFill="1" applyBorder="1" applyAlignment="1" applyProtection="1">
      <alignment horizontal="center"/>
      <protection locked="0"/>
    </xf>
    <xf numFmtId="165" fontId="2" fillId="0" borderId="1" xfId="0" applyNumberFormat="1" applyFont="1" applyFill="1" applyBorder="1" applyAlignment="1" applyProtection="1">
      <alignment horizontal="center"/>
      <protection locked="0"/>
    </xf>
    <xf numFmtId="0" fontId="2" fillId="0" borderId="1" xfId="0" applyFont="1" applyFill="1" applyBorder="1" applyAlignment="1" applyProtection="1">
      <alignment horizontal="center"/>
      <protection locked="0"/>
    </xf>
    <xf numFmtId="3" fontId="2" fillId="0" borderId="1" xfId="1" applyNumberFormat="1" applyFont="1" applyFill="1" applyBorder="1" applyAlignment="1" applyProtection="1">
      <alignment horizontal="center"/>
      <protection locked="0"/>
    </xf>
    <xf numFmtId="0" fontId="2" fillId="0" borderId="1" xfId="0" applyFont="1" applyFill="1" applyBorder="1" applyAlignment="1" applyProtection="1">
      <alignment horizontal="center" wrapText="1"/>
      <protection locked="0"/>
    </xf>
    <xf numFmtId="0" fontId="2" fillId="0" borderId="1" xfId="0" quotePrefix="1" applyFont="1" applyFill="1" applyBorder="1" applyAlignment="1" applyProtection="1">
      <alignment horizontal="center" wrapText="1"/>
      <protection locked="0"/>
    </xf>
    <xf numFmtId="3" fontId="2" fillId="7" borderId="5" xfId="0" applyNumberFormat="1" applyFont="1" applyFill="1" applyBorder="1" applyProtection="1">
      <protection locked="0"/>
    </xf>
    <xf numFmtId="164" fontId="2" fillId="7" borderId="0" xfId="1" applyNumberFormat="1" applyFont="1" applyFill="1" applyBorder="1" applyAlignment="1" applyProtection="1">
      <alignment horizontal="center"/>
      <protection locked="0"/>
    </xf>
    <xf numFmtId="3" fontId="2" fillId="7" borderId="6" xfId="0" applyNumberFormat="1" applyFont="1" applyFill="1" applyBorder="1" applyProtection="1">
      <protection locked="0"/>
    </xf>
    <xf numFmtId="164" fontId="2" fillId="7" borderId="10" xfId="1" applyNumberFormat="1" applyFont="1" applyFill="1" applyBorder="1" applyAlignment="1" applyProtection="1">
      <alignment horizontal="center"/>
      <protection locked="0"/>
    </xf>
    <xf numFmtId="3" fontId="2" fillId="7" borderId="0" xfId="0" applyNumberFormat="1" applyFont="1" applyFill="1" applyBorder="1" applyProtection="1">
      <protection locked="0"/>
    </xf>
    <xf numFmtId="3" fontId="2" fillId="7" borderId="10" xfId="0" applyNumberFormat="1" applyFont="1" applyFill="1" applyBorder="1" applyProtection="1">
      <protection locked="0"/>
    </xf>
    <xf numFmtId="3" fontId="2" fillId="7" borderId="2" xfId="0" applyNumberFormat="1" applyFont="1" applyFill="1" applyBorder="1" applyProtection="1">
      <protection locked="0"/>
    </xf>
    <xf numFmtId="3" fontId="2" fillId="7" borderId="13" xfId="0" applyNumberFormat="1" applyFont="1" applyFill="1" applyBorder="1" applyProtection="1">
      <protection locked="0"/>
    </xf>
    <xf numFmtId="3" fontId="2" fillId="0" borderId="9"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0" fillId="0" borderId="0" xfId="0" applyProtection="1">
      <protection locked="0"/>
    </xf>
    <xf numFmtId="10" fontId="2" fillId="0" borderId="0" xfId="1" applyNumberFormat="1" applyFont="1" applyAlignment="1" applyProtection="1">
      <alignment horizontal="center"/>
      <protection locked="0"/>
    </xf>
    <xf numFmtId="4" fontId="2" fillId="0" borderId="0" xfId="0" applyNumberFormat="1" applyFont="1" applyAlignment="1" applyProtection="1">
      <alignment horizontal="center"/>
      <protection locked="0"/>
    </xf>
    <xf numFmtId="0" fontId="6" fillId="9" borderId="0" xfId="0" applyFont="1" applyFill="1" applyProtection="1">
      <protection locked="0"/>
    </xf>
    <xf numFmtId="0" fontId="0" fillId="9" borderId="0" xfId="0" applyFill="1" applyProtection="1">
      <protection locked="0"/>
    </xf>
    <xf numFmtId="0" fontId="0" fillId="9" borderId="0" xfId="0" applyFill="1" applyAlignment="1" applyProtection="1">
      <alignment horizontal="center"/>
      <protection locked="0"/>
    </xf>
    <xf numFmtId="0" fontId="5" fillId="9" borderId="0" xfId="0" applyFont="1" applyFill="1" applyProtection="1">
      <protection locked="0"/>
    </xf>
    <xf numFmtId="0" fontId="0" fillId="9" borderId="0" xfId="0" applyFont="1" applyFill="1" applyProtection="1">
      <protection locked="0"/>
    </xf>
    <xf numFmtId="0" fontId="0" fillId="9" borderId="0" xfId="0" applyFont="1" applyFill="1" applyAlignment="1" applyProtection="1">
      <alignment horizontal="center"/>
      <protection locked="0"/>
    </xf>
    <xf numFmtId="0" fontId="0" fillId="0" borderId="0" xfId="0" applyFont="1" applyProtection="1">
      <protection locked="0"/>
    </xf>
    <xf numFmtId="0" fontId="30" fillId="9" borderId="0" xfId="0" applyFont="1" applyFill="1" applyProtection="1">
      <protection locked="0"/>
    </xf>
    <xf numFmtId="0" fontId="10" fillId="9" borderId="0" xfId="0" applyFont="1" applyFill="1" applyProtection="1">
      <protection locked="0"/>
    </xf>
    <xf numFmtId="0" fontId="24" fillId="9" borderId="3" xfId="2" applyFill="1" applyBorder="1" applyAlignment="1" applyProtection="1">
      <alignment horizontal="right"/>
      <protection locked="0"/>
    </xf>
    <xf numFmtId="0" fontId="24" fillId="9" borderId="0" xfId="2" applyFill="1" applyBorder="1" applyAlignment="1" applyProtection="1">
      <alignment horizontal="right" wrapText="1"/>
      <protection locked="0"/>
    </xf>
    <xf numFmtId="0" fontId="24" fillId="9" borderId="1" xfId="2" applyFill="1" applyBorder="1" applyAlignment="1" applyProtection="1">
      <alignment horizontal="right"/>
      <protection locked="0"/>
    </xf>
    <xf numFmtId="0" fontId="0" fillId="9" borderId="0" xfId="0" applyFill="1" applyAlignment="1" applyProtection="1">
      <alignment horizontal="left"/>
      <protection locked="0"/>
    </xf>
    <xf numFmtId="0" fontId="24" fillId="9" borderId="3" xfId="2" applyFill="1" applyBorder="1" applyAlignment="1" applyProtection="1">
      <alignment horizontal="right" wrapText="1"/>
      <protection locked="0"/>
    </xf>
    <xf numFmtId="0" fontId="0" fillId="0" borderId="0" xfId="0" applyAlignment="1" applyProtection="1">
      <alignment horizontal="center"/>
      <protection locked="0"/>
    </xf>
    <xf numFmtId="166" fontId="0" fillId="9" borderId="0" xfId="0" applyNumberFormat="1" applyFill="1" applyProtection="1">
      <protection locked="0"/>
    </xf>
    <xf numFmtId="0" fontId="0" fillId="9" borderId="1" xfId="0" applyFill="1" applyBorder="1" applyAlignment="1" applyProtection="1">
      <alignment horizontal="center"/>
      <protection locked="0"/>
    </xf>
    <xf numFmtId="10" fontId="2" fillId="9" borderId="0" xfId="1" applyNumberFormat="1" applyFont="1" applyFill="1" applyBorder="1" applyAlignment="1" applyProtection="1">
      <alignment horizontal="center"/>
      <protection locked="0"/>
    </xf>
    <xf numFmtId="0" fontId="0" fillId="9" borderId="0" xfId="0" applyFill="1" applyAlignment="1" applyProtection="1">
      <alignment horizontal="right"/>
      <protection locked="0"/>
    </xf>
    <xf numFmtId="9" fontId="0" fillId="9" borderId="0" xfId="1" applyFont="1" applyFill="1" applyAlignment="1" applyProtection="1">
      <alignment horizontal="center"/>
      <protection locked="0"/>
    </xf>
    <xf numFmtId="3" fontId="34" fillId="9" borderId="0" xfId="0" applyNumberFormat="1" applyFont="1" applyFill="1" applyProtection="1">
      <protection locked="0"/>
    </xf>
    <xf numFmtId="3" fontId="0" fillId="9" borderId="0" xfId="0" applyNumberFormat="1" applyFill="1" applyProtection="1">
      <protection locked="0"/>
    </xf>
    <xf numFmtId="3" fontId="0" fillId="9" borderId="0" xfId="0" applyNumberFormat="1" applyFill="1" applyAlignment="1" applyProtection="1">
      <alignment horizontal="center"/>
      <protection locked="0"/>
    </xf>
    <xf numFmtId="0" fontId="32" fillId="11" borderId="3" xfId="0" applyFont="1" applyFill="1" applyBorder="1" applyProtection="1">
      <protection locked="0"/>
    </xf>
    <xf numFmtId="0" fontId="0" fillId="11" borderId="15" xfId="0" applyFill="1" applyBorder="1" applyProtection="1">
      <protection locked="0"/>
    </xf>
    <xf numFmtId="0" fontId="7" fillId="11" borderId="3" xfId="0" applyFont="1" applyFill="1" applyBorder="1" applyAlignment="1" applyProtection="1">
      <alignment horizontal="center"/>
      <protection locked="0"/>
    </xf>
    <xf numFmtId="0" fontId="7" fillId="11" borderId="12" xfId="0" applyFont="1" applyFill="1" applyBorder="1" applyAlignment="1" applyProtection="1">
      <alignment horizontal="center"/>
      <protection locked="0"/>
    </xf>
    <xf numFmtId="0" fontId="7" fillId="11" borderId="4" xfId="0" applyFont="1" applyFill="1" applyBorder="1" applyAlignment="1" applyProtection="1">
      <alignment horizontal="center" wrapText="1"/>
      <protection locked="0"/>
    </xf>
    <xf numFmtId="0" fontId="7" fillId="11" borderId="7" xfId="0" applyFont="1" applyFill="1" applyBorder="1" applyAlignment="1" applyProtection="1">
      <alignment horizontal="center" wrapText="1"/>
      <protection locked="0"/>
    </xf>
    <xf numFmtId="0" fontId="7" fillId="11" borderId="8" xfId="0" applyFont="1" applyFill="1" applyBorder="1" applyAlignment="1" applyProtection="1">
      <alignment horizontal="center" wrapText="1"/>
      <protection locked="0"/>
    </xf>
    <xf numFmtId="0" fontId="0" fillId="11" borderId="5" xfId="0" applyFill="1" applyBorder="1" applyAlignment="1" applyProtection="1">
      <alignment horizontal="center"/>
      <protection locked="0"/>
    </xf>
    <xf numFmtId="0" fontId="0" fillId="11" borderId="9" xfId="0" applyFill="1" applyBorder="1" applyAlignment="1" applyProtection="1">
      <alignment horizontal="center"/>
      <protection locked="0"/>
    </xf>
    <xf numFmtId="3" fontId="0" fillId="0" borderId="0" xfId="0" applyNumberFormat="1" applyAlignment="1" applyProtection="1">
      <alignment horizontal="center"/>
      <protection locked="0"/>
    </xf>
    <xf numFmtId="3" fontId="0" fillId="0" borderId="0" xfId="0" applyNumberFormat="1" applyProtection="1">
      <protection locked="0"/>
    </xf>
    <xf numFmtId="0" fontId="0" fillId="11" borderId="6" xfId="0" applyFill="1" applyBorder="1" applyAlignment="1" applyProtection="1">
      <alignment horizontal="center"/>
      <protection locked="0"/>
    </xf>
    <xf numFmtId="0" fontId="0" fillId="11" borderId="11" xfId="0" applyFill="1" applyBorder="1" applyAlignment="1" applyProtection="1">
      <alignment horizontal="center"/>
      <protection locked="0"/>
    </xf>
    <xf numFmtId="0" fontId="0" fillId="0" borderId="0" xfId="0" applyAlignment="1" applyProtection="1">
      <alignment horizontal="right"/>
      <protection locked="0"/>
    </xf>
    <xf numFmtId="3" fontId="0" fillId="5" borderId="5" xfId="0" applyNumberFormat="1" applyFill="1" applyBorder="1" applyAlignment="1" applyProtection="1">
      <alignment horizontal="center"/>
    </xf>
    <xf numFmtId="3" fontId="0" fillId="5" borderId="0" xfId="0" applyNumberFormat="1" applyFill="1" applyBorder="1" applyAlignment="1" applyProtection="1">
      <alignment horizontal="center"/>
    </xf>
    <xf numFmtId="164" fontId="0" fillId="5" borderId="0" xfId="1" applyNumberFormat="1" applyFont="1" applyFill="1" applyBorder="1" applyAlignment="1" applyProtection="1">
      <alignment horizontal="center"/>
    </xf>
    <xf numFmtId="3" fontId="8" fillId="5" borderId="9" xfId="0" applyNumberFormat="1" applyFont="1" applyFill="1" applyBorder="1" applyAlignment="1" applyProtection="1">
      <alignment horizontal="center"/>
    </xf>
    <xf numFmtId="0" fontId="0" fillId="5" borderId="5" xfId="0" applyFill="1" applyBorder="1" applyAlignment="1" applyProtection="1">
      <alignment horizontal="center"/>
    </xf>
    <xf numFmtId="0" fontId="0" fillId="5" borderId="0" xfId="0" applyFill="1" applyBorder="1" applyAlignment="1" applyProtection="1">
      <alignment horizontal="center"/>
    </xf>
    <xf numFmtId="0" fontId="0" fillId="5" borderId="9" xfId="0" applyFill="1" applyBorder="1" applyAlignment="1" applyProtection="1">
      <alignment horizontal="center"/>
    </xf>
    <xf numFmtId="3" fontId="0" fillId="5" borderId="4" xfId="0" applyNumberFormat="1" applyFill="1" applyBorder="1" applyAlignment="1" applyProtection="1">
      <alignment horizontal="center"/>
      <protection locked="0"/>
    </xf>
    <xf numFmtId="3" fontId="0" fillId="5" borderId="8" xfId="0" applyNumberFormat="1" applyFill="1" applyBorder="1" applyAlignment="1" applyProtection="1">
      <alignment horizontal="center"/>
      <protection locked="0"/>
    </xf>
    <xf numFmtId="3" fontId="0" fillId="5" borderId="5" xfId="0" applyNumberFormat="1" applyFill="1" applyBorder="1" applyAlignment="1" applyProtection="1">
      <alignment horizontal="center"/>
      <protection locked="0"/>
    </xf>
    <xf numFmtId="3" fontId="0" fillId="5" borderId="9" xfId="0" applyNumberFormat="1" applyFill="1" applyBorder="1" applyAlignment="1" applyProtection="1">
      <alignment horizontal="center"/>
      <protection locked="0"/>
    </xf>
    <xf numFmtId="3" fontId="0" fillId="5" borderId="6" xfId="0" applyNumberFormat="1" applyFill="1" applyBorder="1" applyAlignment="1" applyProtection="1">
      <alignment horizontal="center"/>
      <protection locked="0"/>
    </xf>
    <xf numFmtId="3" fontId="0" fillId="5" borderId="11" xfId="0" applyNumberFormat="1" applyFill="1" applyBorder="1" applyAlignment="1" applyProtection="1">
      <alignment horizontal="center"/>
      <protection locked="0"/>
    </xf>
    <xf numFmtId="3" fontId="0" fillId="11" borderId="6" xfId="0" applyNumberFormat="1" applyFill="1" applyBorder="1" applyAlignment="1" applyProtection="1">
      <alignment horizontal="center"/>
      <protection locked="0"/>
    </xf>
    <xf numFmtId="0" fontId="7" fillId="11" borderId="4" xfId="0" applyFont="1" applyFill="1" applyBorder="1" applyAlignment="1" applyProtection="1">
      <alignment horizontal="center"/>
      <protection locked="0"/>
    </xf>
    <xf numFmtId="0" fontId="7" fillId="11" borderId="7" xfId="0" applyFont="1" applyFill="1" applyBorder="1" applyAlignment="1" applyProtection="1">
      <alignment horizontal="center"/>
      <protection locked="0"/>
    </xf>
    <xf numFmtId="0" fontId="7" fillId="11" borderId="8" xfId="0" applyFont="1" applyFill="1" applyBorder="1" applyAlignment="1" applyProtection="1">
      <alignment horizontal="center"/>
      <protection locked="0"/>
    </xf>
    <xf numFmtId="0" fontId="7" fillId="11" borderId="7" xfId="0" applyFont="1" applyFill="1" applyBorder="1" applyAlignment="1">
      <alignment horizontal="center"/>
    </xf>
    <xf numFmtId="164" fontId="2" fillId="0" borderId="0" xfId="0" applyNumberFormat="1" applyFont="1" applyAlignment="1">
      <alignment horizontal="center"/>
    </xf>
    <xf numFmtId="0" fontId="26" fillId="7" borderId="6" xfId="0" applyFont="1" applyFill="1" applyBorder="1" applyAlignment="1">
      <alignment horizontal="left" vertical="top" wrapText="1"/>
    </xf>
    <xf numFmtId="0" fontId="26" fillId="7" borderId="11" xfId="0" applyFont="1" applyFill="1" applyBorder="1" applyAlignment="1">
      <alignment horizontal="left" vertical="top" wrapText="1"/>
    </xf>
    <xf numFmtId="0" fontId="26" fillId="7" borderId="5" xfId="0" applyFont="1" applyFill="1" applyBorder="1" applyAlignment="1">
      <alignment horizontal="left" vertical="top" wrapText="1"/>
    </xf>
    <xf numFmtId="0" fontId="26" fillId="7" borderId="9" xfId="0" applyFont="1" applyFill="1" applyBorder="1" applyAlignment="1">
      <alignment horizontal="left" vertical="top" wrapText="1"/>
    </xf>
    <xf numFmtId="0" fontId="5" fillId="11" borderId="3" xfId="0" applyFont="1" applyFill="1" applyBorder="1" applyAlignment="1" applyProtection="1">
      <alignment horizontal="center"/>
      <protection locked="0"/>
    </xf>
    <xf numFmtId="0" fontId="5" fillId="11" borderId="15" xfId="0" applyFont="1" applyFill="1" applyBorder="1" applyAlignment="1" applyProtection="1">
      <alignment horizontal="center"/>
      <protection locked="0"/>
    </xf>
    <xf numFmtId="0" fontId="5" fillId="11" borderId="12" xfId="0" applyFont="1" applyFill="1" applyBorder="1" applyAlignment="1" applyProtection="1">
      <alignment horizontal="center"/>
      <protection locked="0"/>
    </xf>
    <xf numFmtId="0" fontId="5" fillId="11" borderId="3" xfId="0" applyFont="1" applyFill="1" applyBorder="1" applyAlignment="1" applyProtection="1">
      <alignment horizontal="center" wrapText="1"/>
      <protection locked="0"/>
    </xf>
    <xf numFmtId="0" fontId="7" fillId="13" borderId="0" xfId="0" applyFont="1" applyFill="1" applyAlignment="1">
      <alignment horizontal="center"/>
    </xf>
    <xf numFmtId="0" fontId="7" fillId="3" borderId="0" xfId="0" applyFont="1" applyFill="1" applyAlignment="1">
      <alignment horizontal="center"/>
    </xf>
    <xf numFmtId="0" fontId="18" fillId="4" borderId="0" xfId="0" applyFont="1" applyFill="1" applyAlignment="1">
      <alignment horizontal="center" vertical="center" wrapText="1"/>
    </xf>
    <xf numFmtId="0" fontId="18" fillId="12" borderId="0" xfId="0" applyFont="1" applyFill="1" applyAlignment="1">
      <alignment horizontal="center" vertical="center"/>
    </xf>
    <xf numFmtId="0" fontId="18" fillId="15" borderId="0" xfId="0" applyFont="1" applyFill="1" applyAlignment="1">
      <alignment horizontal="center" vertical="center"/>
    </xf>
    <xf numFmtId="0" fontId="18" fillId="4" borderId="0" xfId="0" applyFont="1" applyFill="1" applyAlignment="1">
      <alignment horizontal="center" wrapText="1"/>
    </xf>
    <xf numFmtId="0" fontId="20" fillId="3" borderId="0" xfId="0" applyFont="1" applyFill="1" applyAlignment="1">
      <alignment horizontal="center"/>
    </xf>
    <xf numFmtId="0" fontId="21" fillId="14" borderId="0" xfId="0" applyFont="1" applyFill="1" applyAlignment="1">
      <alignment horizontal="center"/>
    </xf>
    <xf numFmtId="0" fontId="21" fillId="12" borderId="0" xfId="0" applyFont="1" applyFill="1" applyAlignment="1">
      <alignment horizontal="center"/>
    </xf>
    <xf numFmtId="0" fontId="20" fillId="14" borderId="0" xfId="0" applyFont="1" applyFill="1" applyAlignment="1">
      <alignment horizontal="center"/>
    </xf>
    <xf numFmtId="0" fontId="20" fillId="7" borderId="0" xfId="0" applyFont="1" applyFill="1" applyAlignment="1">
      <alignment horizontal="center"/>
    </xf>
    <xf numFmtId="0" fontId="16" fillId="3" borderId="0" xfId="0" applyFont="1" applyFill="1" applyAlignment="1">
      <alignment horizontal="center"/>
    </xf>
    <xf numFmtId="3" fontId="14" fillId="7" borderId="4" xfId="0" applyNumberFormat="1" applyFont="1" applyFill="1" applyBorder="1" applyAlignment="1">
      <alignment horizontal="center"/>
    </xf>
    <xf numFmtId="3" fontId="14" fillId="7" borderId="7" xfId="0" applyNumberFormat="1" applyFont="1" applyFill="1" applyBorder="1" applyAlignment="1">
      <alignment horizontal="center"/>
    </xf>
    <xf numFmtId="3" fontId="14" fillId="7" borderId="8" xfId="0" applyNumberFormat="1" applyFont="1" applyFill="1" applyBorder="1" applyAlignment="1">
      <alignment horizontal="center"/>
    </xf>
    <xf numFmtId="0" fontId="14" fillId="7" borderId="4" xfId="0" applyFont="1" applyFill="1" applyBorder="1" applyAlignment="1">
      <alignment horizontal="center"/>
    </xf>
    <xf numFmtId="0" fontId="14" fillId="7" borderId="7" xfId="0" applyFont="1" applyFill="1" applyBorder="1" applyAlignment="1">
      <alignment horizontal="center"/>
    </xf>
    <xf numFmtId="0" fontId="14" fillId="7" borderId="8" xfId="0" applyFont="1" applyFill="1" applyBorder="1" applyAlignment="1">
      <alignment horizontal="center"/>
    </xf>
    <xf numFmtId="3" fontId="15" fillId="7" borderId="4" xfId="0" applyNumberFormat="1" applyFont="1" applyFill="1" applyBorder="1" applyAlignment="1">
      <alignment horizontal="center"/>
    </xf>
    <xf numFmtId="3" fontId="15" fillId="7" borderId="7" xfId="0" applyNumberFormat="1" applyFont="1" applyFill="1" applyBorder="1" applyAlignment="1">
      <alignment horizontal="center"/>
    </xf>
    <xf numFmtId="3" fontId="15" fillId="7" borderId="8" xfId="0" applyNumberFormat="1" applyFont="1" applyFill="1" applyBorder="1" applyAlignment="1">
      <alignment horizontal="center"/>
    </xf>
    <xf numFmtId="0" fontId="18" fillId="3" borderId="0" xfId="0" applyFont="1" applyFill="1" applyAlignment="1">
      <alignment horizontal="center"/>
    </xf>
    <xf numFmtId="0" fontId="17" fillId="3" borderId="0" xfId="0" applyFont="1" applyFill="1" applyAlignment="1">
      <alignment horizontal="center"/>
    </xf>
  </cellXfs>
  <cellStyles count="3">
    <cellStyle name="Hyperlink" xfId="2" builtinId="8"/>
    <cellStyle name="Normal" xfId="0" builtinId="0"/>
    <cellStyle name="Percent" xfId="1" builtinId="5"/>
  </cellStyles>
  <dxfs count="5">
    <dxf>
      <font>
        <color rgb="FFFF0000"/>
      </font>
    </dxf>
    <dxf>
      <font>
        <color rgb="FFFF0000"/>
      </font>
    </dxf>
    <dxf>
      <font>
        <color rgb="FFFF0000"/>
      </font>
    </dxf>
    <dxf>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Dashboard!$L$62</c:f>
              <c:strCache>
                <c:ptCount val="1"/>
                <c:pt idx="0">
                  <c:v>Liquid Assets</c:v>
                </c:pt>
              </c:strCache>
            </c:strRef>
          </c:tx>
          <c:marker>
            <c:symbol val="none"/>
          </c:marker>
          <c:cat>
            <c:numRef>
              <c:f>[0]!Line_X_Assets</c:f>
              <c:numCache>
                <c:formatCode>General</c:formatCode>
                <c:ptCount val="60"/>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pt idx="21">
                  <c:v>61</c:v>
                </c:pt>
                <c:pt idx="22">
                  <c:v>62</c:v>
                </c:pt>
                <c:pt idx="23">
                  <c:v>63</c:v>
                </c:pt>
                <c:pt idx="24">
                  <c:v>64</c:v>
                </c:pt>
                <c:pt idx="25">
                  <c:v>65</c:v>
                </c:pt>
                <c:pt idx="26">
                  <c:v>66</c:v>
                </c:pt>
                <c:pt idx="27">
                  <c:v>67</c:v>
                </c:pt>
                <c:pt idx="28">
                  <c:v>68</c:v>
                </c:pt>
                <c:pt idx="29">
                  <c:v>69</c:v>
                </c:pt>
                <c:pt idx="30">
                  <c:v>70</c:v>
                </c:pt>
                <c:pt idx="31">
                  <c:v>71</c:v>
                </c:pt>
                <c:pt idx="32">
                  <c:v>72</c:v>
                </c:pt>
                <c:pt idx="33">
                  <c:v>73</c:v>
                </c:pt>
                <c:pt idx="34">
                  <c:v>74</c:v>
                </c:pt>
                <c:pt idx="35">
                  <c:v>75</c:v>
                </c:pt>
                <c:pt idx="36">
                  <c:v>76</c:v>
                </c:pt>
                <c:pt idx="37">
                  <c:v>77</c:v>
                </c:pt>
                <c:pt idx="38">
                  <c:v>78</c:v>
                </c:pt>
                <c:pt idx="39">
                  <c:v>79</c:v>
                </c:pt>
                <c:pt idx="40">
                  <c:v>80</c:v>
                </c:pt>
                <c:pt idx="41">
                  <c:v>81</c:v>
                </c:pt>
                <c:pt idx="42">
                  <c:v>82</c:v>
                </c:pt>
                <c:pt idx="43">
                  <c:v>83</c:v>
                </c:pt>
                <c:pt idx="44">
                  <c:v>84</c:v>
                </c:pt>
                <c:pt idx="45">
                  <c:v>85</c:v>
                </c:pt>
                <c:pt idx="46">
                  <c:v>86</c:v>
                </c:pt>
                <c:pt idx="47">
                  <c:v>87</c:v>
                </c:pt>
                <c:pt idx="48">
                  <c:v>88</c:v>
                </c:pt>
                <c:pt idx="49">
                  <c:v>89</c:v>
                </c:pt>
                <c:pt idx="50">
                  <c:v>90</c:v>
                </c:pt>
                <c:pt idx="51">
                  <c:v>91</c:v>
                </c:pt>
                <c:pt idx="52">
                  <c:v>92</c:v>
                </c:pt>
                <c:pt idx="53">
                  <c:v>93</c:v>
                </c:pt>
                <c:pt idx="54">
                  <c:v>94</c:v>
                </c:pt>
                <c:pt idx="55">
                  <c:v>95</c:v>
                </c:pt>
                <c:pt idx="56">
                  <c:v>96</c:v>
                </c:pt>
                <c:pt idx="57">
                  <c:v>97</c:v>
                </c:pt>
                <c:pt idx="58">
                  <c:v>98</c:v>
                </c:pt>
                <c:pt idx="59">
                  <c:v>99</c:v>
                </c:pt>
              </c:numCache>
            </c:numRef>
          </c:cat>
          <c:val>
            <c:numRef>
              <c:f>[0]!Line_Liquid_Assets</c:f>
              <c:numCache>
                <c:formatCode>#,##0</c:formatCode>
                <c:ptCount val="60"/>
                <c:pt idx="0">
                  <c:v>190394.01544401544</c:v>
                </c:pt>
                <c:pt idx="1">
                  <c:v>194713.81712594657</c:v>
                </c:pt>
                <c:pt idx="2">
                  <c:v>201849.63116190376</c:v>
                </c:pt>
                <c:pt idx="3">
                  <c:v>211961.41736945507</c:v>
                </c:pt>
                <c:pt idx="4">
                  <c:v>225799.6768055599</c:v>
                </c:pt>
                <c:pt idx="5">
                  <c:v>243786.58282098983</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ser>
        <c:ser>
          <c:idx val="1"/>
          <c:order val="1"/>
          <c:tx>
            <c:strRef>
              <c:f>Dashboard!$N$62</c:f>
              <c:strCache>
                <c:ptCount val="1"/>
                <c:pt idx="0">
                  <c:v>Total Assets</c:v>
                </c:pt>
              </c:strCache>
            </c:strRef>
          </c:tx>
          <c:marker>
            <c:symbol val="none"/>
          </c:marker>
          <c:cat>
            <c:numRef>
              <c:f>[0]!Line_X_Assets</c:f>
              <c:numCache>
                <c:formatCode>General</c:formatCode>
                <c:ptCount val="60"/>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pt idx="21">
                  <c:v>61</c:v>
                </c:pt>
                <c:pt idx="22">
                  <c:v>62</c:v>
                </c:pt>
                <c:pt idx="23">
                  <c:v>63</c:v>
                </c:pt>
                <c:pt idx="24">
                  <c:v>64</c:v>
                </c:pt>
                <c:pt idx="25">
                  <c:v>65</c:v>
                </c:pt>
                <c:pt idx="26">
                  <c:v>66</c:v>
                </c:pt>
                <c:pt idx="27">
                  <c:v>67</c:v>
                </c:pt>
                <c:pt idx="28">
                  <c:v>68</c:v>
                </c:pt>
                <c:pt idx="29">
                  <c:v>69</c:v>
                </c:pt>
                <c:pt idx="30">
                  <c:v>70</c:v>
                </c:pt>
                <c:pt idx="31">
                  <c:v>71</c:v>
                </c:pt>
                <c:pt idx="32">
                  <c:v>72</c:v>
                </c:pt>
                <c:pt idx="33">
                  <c:v>73</c:v>
                </c:pt>
                <c:pt idx="34">
                  <c:v>74</c:v>
                </c:pt>
                <c:pt idx="35">
                  <c:v>75</c:v>
                </c:pt>
                <c:pt idx="36">
                  <c:v>76</c:v>
                </c:pt>
                <c:pt idx="37">
                  <c:v>77</c:v>
                </c:pt>
                <c:pt idx="38">
                  <c:v>78</c:v>
                </c:pt>
                <c:pt idx="39">
                  <c:v>79</c:v>
                </c:pt>
                <c:pt idx="40">
                  <c:v>80</c:v>
                </c:pt>
                <c:pt idx="41">
                  <c:v>81</c:v>
                </c:pt>
                <c:pt idx="42">
                  <c:v>82</c:v>
                </c:pt>
                <c:pt idx="43">
                  <c:v>83</c:v>
                </c:pt>
                <c:pt idx="44">
                  <c:v>84</c:v>
                </c:pt>
                <c:pt idx="45">
                  <c:v>85</c:v>
                </c:pt>
                <c:pt idx="46">
                  <c:v>86</c:v>
                </c:pt>
                <c:pt idx="47">
                  <c:v>87</c:v>
                </c:pt>
                <c:pt idx="48">
                  <c:v>88</c:v>
                </c:pt>
                <c:pt idx="49">
                  <c:v>89</c:v>
                </c:pt>
                <c:pt idx="50">
                  <c:v>90</c:v>
                </c:pt>
                <c:pt idx="51">
                  <c:v>91</c:v>
                </c:pt>
                <c:pt idx="52">
                  <c:v>92</c:v>
                </c:pt>
                <c:pt idx="53">
                  <c:v>93</c:v>
                </c:pt>
                <c:pt idx="54">
                  <c:v>94</c:v>
                </c:pt>
                <c:pt idx="55">
                  <c:v>95</c:v>
                </c:pt>
                <c:pt idx="56">
                  <c:v>96</c:v>
                </c:pt>
                <c:pt idx="57">
                  <c:v>97</c:v>
                </c:pt>
                <c:pt idx="58">
                  <c:v>98</c:v>
                </c:pt>
                <c:pt idx="59">
                  <c:v>99</c:v>
                </c:pt>
              </c:numCache>
            </c:numRef>
          </c:cat>
          <c:val>
            <c:numRef>
              <c:f>[0]!Line_Total_Assets</c:f>
              <c:numCache>
                <c:formatCode>#,##0</c:formatCode>
                <c:ptCount val="60"/>
                <c:pt idx="0">
                  <c:v>330394.01544401544</c:v>
                </c:pt>
                <c:pt idx="1">
                  <c:v>345458.13794401544</c:v>
                </c:pt>
                <c:pt idx="2">
                  <c:v>363628.04563076422</c:v>
                </c:pt>
                <c:pt idx="3">
                  <c:v>385072.48923513887</c:v>
                </c:pt>
                <c:pt idx="4">
                  <c:v>410551.05636393989</c:v>
                </c:pt>
                <c:pt idx="5">
                  <c:v>440495.31325977389</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ser>
        <c:dLbls>
          <c:showLegendKey val="0"/>
          <c:showVal val="0"/>
          <c:showCatName val="0"/>
          <c:showSerName val="0"/>
          <c:showPercent val="0"/>
          <c:showBubbleSize val="0"/>
        </c:dLbls>
        <c:marker val="1"/>
        <c:smooth val="0"/>
        <c:axId val="1059792896"/>
        <c:axId val="1058130752"/>
      </c:lineChart>
      <c:dateAx>
        <c:axId val="1059792896"/>
        <c:scaling>
          <c:orientation val="minMax"/>
        </c:scaling>
        <c:delete val="0"/>
        <c:axPos val="b"/>
        <c:numFmt formatCode="General" sourceLinked="1"/>
        <c:majorTickMark val="out"/>
        <c:minorTickMark val="none"/>
        <c:tickLblPos val="nextTo"/>
        <c:crossAx val="1058130752"/>
        <c:crosses val="autoZero"/>
        <c:auto val="0"/>
        <c:lblOffset val="100"/>
        <c:baseTimeUnit val="days"/>
      </c:dateAx>
      <c:valAx>
        <c:axId val="1058130752"/>
        <c:scaling>
          <c:orientation val="minMax"/>
        </c:scaling>
        <c:delete val="0"/>
        <c:axPos val="l"/>
        <c:majorGridlines/>
        <c:numFmt formatCode="#,##0" sourceLinked="1"/>
        <c:majorTickMark val="out"/>
        <c:minorTickMark val="none"/>
        <c:tickLblPos val="nextTo"/>
        <c:crossAx val="10597928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30480</xdr:colOff>
      <xdr:row>4</xdr:row>
      <xdr:rowOff>15240</xdr:rowOff>
    </xdr:from>
    <xdr:to>
      <xdr:col>2</xdr:col>
      <xdr:colOff>0</xdr:colOff>
      <xdr:row>39</xdr:row>
      <xdr:rowOff>53340</xdr:rowOff>
    </xdr:to>
    <xdr:sp macro="" textlink="">
      <xdr:nvSpPr>
        <xdr:cNvPr id="2" name="TextBox 1"/>
        <xdr:cNvSpPr txBox="1"/>
      </xdr:nvSpPr>
      <xdr:spPr>
        <a:xfrm>
          <a:off x="30480" y="830580"/>
          <a:ext cx="8564880" cy="64389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From the Author: </a:t>
          </a:r>
        </a:p>
        <a:p>
          <a:r>
            <a:rPr lang="en-US" sz="1100"/>
            <a:t>I created this calculator for myself and my friends.  I</a:t>
          </a:r>
          <a:r>
            <a:rPr lang="en-US" sz="1100" baseline="0"/>
            <a:t> hope you find it as useful as I have.</a:t>
          </a:r>
        </a:p>
        <a:p>
          <a:endParaRPr lang="en-US" sz="1100"/>
        </a:p>
        <a:p>
          <a:r>
            <a:rPr lang="en-US" sz="1100"/>
            <a:t>A business would never think of launching without a plan</a:t>
          </a:r>
          <a:r>
            <a:rPr lang="en-US" sz="1100" baseline="0"/>
            <a:t> </a:t>
          </a:r>
          <a:r>
            <a:rPr lang="en-US" sz="1100"/>
            <a:t>and yet most of us go through life without one.  The Wealth Planner is a blank slate for you to sketch your life's financial plan.  The goal is transparency and understanding.  This spreadsheet may look complicated, but if you follow the Dashboard row by row, y</a:t>
          </a:r>
          <a:r>
            <a:rPr lang="en-US" sz="1100">
              <a:solidFill>
                <a:schemeClr val="dk1"/>
              </a:solidFill>
              <a:effectLst/>
              <a:latin typeface="+mn-lt"/>
              <a:ea typeface="+mn-ea"/>
              <a:cs typeface="+mn-cs"/>
            </a:rPr>
            <a:t>ou could fill out this Planner in </a:t>
          </a:r>
          <a:r>
            <a:rPr lang="en-US" sz="1100" b="1">
              <a:solidFill>
                <a:schemeClr val="dk1"/>
              </a:solidFill>
              <a:effectLst/>
              <a:latin typeface="+mn-lt"/>
              <a:ea typeface="+mn-ea"/>
              <a:cs typeface="+mn-cs"/>
            </a:rPr>
            <a:t>five minutes</a:t>
          </a:r>
          <a:r>
            <a:rPr lang="en-US" sz="1100">
              <a:solidFill>
                <a:schemeClr val="dk1"/>
              </a:solidFill>
              <a:effectLst/>
              <a:latin typeface="+mn-lt"/>
              <a:ea typeface="+mn-ea"/>
              <a:cs typeface="+mn-cs"/>
            </a:rPr>
            <a:t>, see your results, and declare mission accomplished.  But those who know me know that I will spend hours thinking about the impacts of my choices.  </a:t>
          </a:r>
          <a:r>
            <a:rPr lang="en-US" sz="1100"/>
            <a:t>Each input description has a hyperlink that, if you click it, it will bring you to a "Tips" guide.  Click on the Tip description, and it takes you back to where you started.  </a:t>
          </a:r>
        </a:p>
        <a:p>
          <a:endParaRPr lang="en-US" sz="1100"/>
        </a:p>
        <a:p>
          <a:r>
            <a:rPr lang="en-US" sz="1100"/>
            <a:t>There are several tabs which have the following purposes:</a:t>
          </a:r>
        </a:p>
        <a:p>
          <a:r>
            <a:rPr lang="en-US" sz="1100"/>
            <a:t>- Dashboard: You can use this calculator and never leave the</a:t>
          </a:r>
          <a:r>
            <a:rPr lang="en-US" sz="1100" baseline="0"/>
            <a:t> Dashboard</a:t>
          </a:r>
          <a:r>
            <a:rPr lang="en-US" sz="1100"/>
            <a:t>.  It contains all your inputs and results.  While you don't need to, I strongly encourage you to inspect your life decisions on the other tabs to understand the choices and inputs you are making.</a:t>
          </a:r>
        </a:p>
        <a:p>
          <a:endParaRPr lang="en-US" sz="1100"/>
        </a:p>
        <a:p>
          <a:r>
            <a:rPr lang="en-US" sz="1100"/>
            <a:t>- Guide: This tab gives you guidance for every Input.  It is useful to refer to them because you will learn tips and hints such as, "Always enter 0% for inflation while filling out the inputs, so you can clearly see your inputs in the cashflows."</a:t>
          </a:r>
        </a:p>
        <a:p>
          <a:endParaRPr lang="en-US" sz="1100"/>
        </a:p>
        <a:p>
          <a:r>
            <a:rPr lang="en-US" sz="1100"/>
            <a:t>- Income: The Incomes are calculated here.  You can also see the tax summary here.</a:t>
          </a:r>
        </a:p>
        <a:p>
          <a:endParaRPr lang="en-US" sz="1100"/>
        </a:p>
        <a:p>
          <a:r>
            <a:rPr lang="en-US" sz="1100"/>
            <a:t>- Taxes: Tax Calculations.  This is the only other tab with inputs, as it allows you to enter your local tax schedules.  Currently, it's set for Connecticut, in the USA, but you could enter any currency in any tax jurisdiction.  It's also set for "Married filing jointly".</a:t>
          </a:r>
          <a:r>
            <a:rPr lang="en-US" sz="1100" baseline="0"/>
            <a:t>  You can change that on this tab by changin the standard deduction, and real estate capital gains allowance.</a:t>
          </a:r>
          <a:endParaRPr lang="en-US" sz="1100"/>
        </a:p>
        <a:p>
          <a:endParaRPr lang="en-US" sz="1100"/>
        </a:p>
        <a:p>
          <a:r>
            <a:rPr lang="en-US" sz="1100"/>
            <a:t>- Investments:  This tab keeps track of your money, whether it's invested or borrowed from the Cash account, or invested in Stocks, Bonds, or a 401K.  Money is automatically invested, withdrawn, and taxed as your earnings and spending dictate.  The system even keeps track of ordinary vs capital gains.</a:t>
          </a:r>
        </a:p>
        <a:p>
          <a:endParaRPr lang="en-US" sz="1100"/>
        </a:p>
        <a:p>
          <a:r>
            <a:rPr lang="en-US" sz="1100"/>
            <a:t>- Expenses: Enter your spending choices here.  You should break this into the large segments such as "LivingCosts", "CollegeTuition", etc.  Your home expenses don't go here, but into Real Estate.  Real</a:t>
          </a:r>
          <a:r>
            <a:rPr lang="en-US" sz="1100" baseline="0"/>
            <a:t> Estate is broken out so you can understand the true cost of your choice of home.</a:t>
          </a:r>
          <a:endParaRPr lang="en-US" sz="1100"/>
        </a:p>
        <a:p>
          <a:endParaRPr lang="en-US" sz="1100"/>
        </a:p>
        <a:p>
          <a:r>
            <a:rPr lang="en-US" sz="1100"/>
            <a:t>- Real Estate: Whether you own or rent, this is where you enter your details on up to two current or future homes.  Perhaps you rent now, and you plan to buy in 5 years with the help of the Wealth Planner.  Perhaps you plan to sell your McMansion when the kids go to college, and downsize to a smaller home.  The Real Estate tab also helps you decide between two different homes, perhaps one big, one small, or renting vs owning.  Perhaps one is in a high tax state, while the other is in a low one.</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a:t>You can see that the Wealth Planner is a powerful tool to plan your life.  Any plan is far better than no plan, but once you've understood your expected outcome, it would be wise to play with the assumptions such as inflation and investment returns to see what impact a different outcome would have on your fu</a:t>
          </a:r>
          <a:r>
            <a:rPr lang="en-US" sz="1100">
              <a:solidFill>
                <a:schemeClr val="dk1"/>
              </a:solidFill>
              <a:effectLst/>
              <a:latin typeface="+mn-lt"/>
              <a:ea typeface="+mn-ea"/>
              <a:cs typeface="+mn-cs"/>
            </a:rPr>
            <a:t>ture self.  </a:t>
          </a:r>
          <a:endParaRPr lang="en-US">
            <a:effectLst/>
          </a:endParaRPr>
        </a:p>
        <a:p>
          <a:endParaRPr lang="en-US" sz="1100"/>
        </a:p>
        <a:p>
          <a:r>
            <a:rPr lang="en-US" sz="1100"/>
            <a:t>Stay tuned for more enhancements.</a:t>
          </a:r>
        </a:p>
      </xdr:txBody>
    </xdr:sp>
    <xdr:clientData/>
  </xdr:twoCellAnchor>
  <xdr:twoCellAnchor>
    <xdr:from>
      <xdr:col>0</xdr:col>
      <xdr:colOff>0</xdr:colOff>
      <xdr:row>40</xdr:row>
      <xdr:rowOff>266699</xdr:rowOff>
    </xdr:from>
    <xdr:to>
      <xdr:col>2</xdr:col>
      <xdr:colOff>7620</xdr:colOff>
      <xdr:row>74</xdr:row>
      <xdr:rowOff>161924</xdr:rowOff>
    </xdr:to>
    <xdr:sp macro="" textlink="">
      <xdr:nvSpPr>
        <xdr:cNvPr id="3" name="TextBox 2"/>
        <xdr:cNvSpPr txBox="1"/>
      </xdr:nvSpPr>
      <xdr:spPr>
        <a:xfrm>
          <a:off x="0" y="7943849"/>
          <a:ext cx="8361045" cy="64484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DISCLAIMER OF WARRANTIES</a:t>
          </a:r>
        </a:p>
        <a:p>
          <a:endParaRPr lang="en-US"/>
        </a:p>
        <a:p>
          <a:r>
            <a:rPr lang="en-US"/>
            <a:t>YOUR USE OF THE SOFTWARE AND CONTENT IS ENTIRELY AT YOUR OWN RISK. EXCEPT AS DESCRIBED IN THIS AGREEMENT, THE SOFTWARE IS PROVIDED "AS IS." TO THE MAXIMUM EXTENT PERMITTED BY APPLICABLE LAW, BFW ENTERPRISES</a:t>
          </a:r>
          <a:r>
            <a:rPr lang="en-US" baseline="0"/>
            <a:t> LLC</a:t>
          </a:r>
          <a:r>
            <a:rPr lang="en-US"/>
            <a:t>, ITS AFFILIATES, AND ITS AND THEIR THIRD PARTY PROVIDERS, LICENSORS, DISTRIBUTORS OR SUPPLIERS (COLLECTIVELY, "SUPPLIERS") DISCLAIM ALL WARRANTIES, EXPRESS OR IMPLIED, INCLUDING ANY WARRANTY THAT THE SOFTWARE IS FIT FOR A PARTICULAR PURPOSE, TITLE, MERCHANTABILITY, DATA LOSS, NON-INTERFERENCE WITH OR NON-INFRINGEMENT OF ANY INTELLECTUAL PROPERTY RIGHTS, OR THE ACCURACY, RELIABILITY, QUALITY OR CONTENT IN OR LINKED TO THE SOFTWARE. </a:t>
          </a:r>
          <a:r>
            <a:rPr lang="en-US" sz="1100">
              <a:solidFill>
                <a:schemeClr val="dk1"/>
              </a:solidFill>
              <a:effectLst/>
              <a:latin typeface="+mn-lt"/>
              <a:ea typeface="+mn-ea"/>
              <a:cs typeface="+mn-cs"/>
            </a:rPr>
            <a:t>BFW ENTERPRISES</a:t>
          </a:r>
          <a:r>
            <a:rPr lang="en-US" sz="1100" baseline="0">
              <a:solidFill>
                <a:schemeClr val="dk1"/>
              </a:solidFill>
              <a:effectLst/>
              <a:latin typeface="+mn-lt"/>
              <a:ea typeface="+mn-ea"/>
              <a:cs typeface="+mn-cs"/>
            </a:rPr>
            <a:t> LLC</a:t>
          </a:r>
          <a:r>
            <a:rPr lang="en-US"/>
            <a:t> AND ITS AFFILIATES AND SUPPLIERS DO NOT WARRANT THAT THE SOFTWARE IS SECURE, FREE FROM BUGS, VIRUSES, INTERRUPTION, ERRORS, THEFT OR DESTRUCTION. IF THE EXCLUSIONS FOR IMPLIED WARRANTIES DO NOT APPLY TO YOU, ANY IMPLIED WARRANTIES ARE LIMITED TO 60 DAYS FROM THE DATE OF PURCHASE OR DELIVERY OF THE SERVICES, WHICHEVER IS SOONER.</a:t>
          </a:r>
          <a:br>
            <a:rPr lang="en-US"/>
          </a:br>
          <a:r>
            <a:rPr lang="en-US"/>
            <a:t/>
          </a:r>
          <a:br>
            <a:rPr lang="en-US"/>
          </a:br>
          <a:r>
            <a:rPr lang="en-US" sz="1100">
              <a:solidFill>
                <a:schemeClr val="dk1"/>
              </a:solidFill>
              <a:effectLst/>
              <a:latin typeface="+mn-lt"/>
              <a:ea typeface="+mn-ea"/>
              <a:cs typeface="+mn-cs"/>
            </a:rPr>
            <a:t>BFW ENTERPRISES</a:t>
          </a:r>
          <a:r>
            <a:rPr lang="en-US" sz="1100" baseline="0">
              <a:solidFill>
                <a:schemeClr val="dk1"/>
              </a:solidFill>
              <a:effectLst/>
              <a:latin typeface="+mn-lt"/>
              <a:ea typeface="+mn-ea"/>
              <a:cs typeface="+mn-cs"/>
            </a:rPr>
            <a:t> LLC</a:t>
          </a:r>
          <a:r>
            <a:rPr lang="en-US"/>
            <a:t>, ITS AFFILIATES AND SUPPLIERS DISCLAIM ANY REPRESENTATIONS OR WARRANTIES THAT YOUR USE OF THE SOFTWARE WILL SATISFY OR ENSURE COMPLIANCE WITH ANY LEGAL OBLIGATIONS OR LAWS OR REGULATIONS.</a:t>
          </a:r>
        </a:p>
        <a:p>
          <a:r>
            <a:rPr lang="en-US"/>
            <a:t/>
          </a:r>
          <a:br>
            <a:rPr lang="en-US"/>
          </a:br>
          <a:r>
            <a:rPr lang="en-US"/>
            <a:t>LIMITATION OF LIABILITY AND INDEMNITY.</a:t>
          </a:r>
          <a:br>
            <a:rPr lang="en-US"/>
          </a:br>
          <a:r>
            <a:rPr lang="en-US"/>
            <a:t>TO THE MAXIMUM EXTENT PERMITTED BY APPLICABLE LAW, THE ENTIRE LIABILITY OF</a:t>
          </a:r>
          <a:r>
            <a:rPr lang="en-US" baseline="0"/>
            <a:t> </a:t>
          </a:r>
          <a:r>
            <a:rPr lang="en-US" sz="1100">
              <a:solidFill>
                <a:schemeClr val="dk1"/>
              </a:solidFill>
              <a:effectLst/>
              <a:latin typeface="+mn-lt"/>
              <a:ea typeface="+mn-ea"/>
              <a:cs typeface="+mn-cs"/>
            </a:rPr>
            <a:t>BFW ENTERPRISES</a:t>
          </a:r>
          <a:r>
            <a:rPr lang="en-US" sz="1100" baseline="0">
              <a:solidFill>
                <a:schemeClr val="dk1"/>
              </a:solidFill>
              <a:effectLst/>
              <a:latin typeface="+mn-lt"/>
              <a:ea typeface="+mn-ea"/>
              <a:cs typeface="+mn-cs"/>
            </a:rPr>
            <a:t> LLC</a:t>
          </a:r>
          <a:r>
            <a:rPr lang="en-US"/>
            <a:t>, ITS AFFILIATES AND SUPPLIERS FOR ALL CLAIMS RELATING TO THIS AGREEMENT SHALL BE LIMITED TO THE AMOUNT YOU PAID FOR THE SOFTWARE DURING THE TWELVE (12) MONTHS PRIOR TO SUCH CLAIM. SUBJECT TO APPLICABLE LAW, </a:t>
          </a:r>
          <a:r>
            <a:rPr lang="en-US" sz="1100">
              <a:solidFill>
                <a:schemeClr val="dk1"/>
              </a:solidFill>
              <a:effectLst/>
              <a:latin typeface="+mn-lt"/>
              <a:ea typeface="+mn-ea"/>
              <a:cs typeface="+mn-cs"/>
            </a:rPr>
            <a:t>BFW ENTERPRISES</a:t>
          </a:r>
          <a:r>
            <a:rPr lang="en-US" sz="1100" baseline="0">
              <a:solidFill>
                <a:schemeClr val="dk1"/>
              </a:solidFill>
              <a:effectLst/>
              <a:latin typeface="+mn-lt"/>
              <a:ea typeface="+mn-ea"/>
              <a:cs typeface="+mn-cs"/>
            </a:rPr>
            <a:t> LLC</a:t>
          </a:r>
          <a:r>
            <a:rPr lang="en-US"/>
            <a:t>, ITS AFFILIATES AND SUPPLIERS ARE NOT LIABLE FOR ANY OF THE FOLLOWING: (A) INDIRECT, SPECIAL, INCIDENTAL, EXEMPLARY, PUNITIVE OR CONSEQUENTIAL DAMAGES; (B) DAMAGES RELATING TO FAILURES OF TELECOMMUNICATIONS, THE INTERNET, ELECTRONIC COMMUNICATIONS, CORRUPTION, SECURITY, LOSS OR THEFT OF DATA, VIRUSES, SPYWARE, LOSS OF BUSINESS, REVENUE, PROFITS OR INVESTMENT, OR USE OF SOFTWARE OR HARDWARE THAT DOES NOT MEET </a:t>
          </a:r>
          <a:r>
            <a:rPr lang="en-US" sz="1100">
              <a:solidFill>
                <a:schemeClr val="dk1"/>
              </a:solidFill>
              <a:effectLst/>
              <a:latin typeface="+mn-lt"/>
              <a:ea typeface="+mn-ea"/>
              <a:cs typeface="+mn-cs"/>
            </a:rPr>
            <a:t>BFW ENTERPRISES</a:t>
          </a:r>
          <a:r>
            <a:rPr lang="en-US" sz="1100" baseline="0">
              <a:solidFill>
                <a:schemeClr val="dk1"/>
              </a:solidFill>
              <a:effectLst/>
              <a:latin typeface="+mn-lt"/>
              <a:ea typeface="+mn-ea"/>
              <a:cs typeface="+mn-cs"/>
            </a:rPr>
            <a:t> LLC</a:t>
          </a:r>
          <a:r>
            <a:rPr lang="en-US"/>
            <a:t> SYSTEMS REQUIREMENTS. THE ABOVE LIMITATIONS APPLY EVEN IF </a:t>
          </a:r>
          <a:r>
            <a:rPr lang="en-US" sz="1100">
              <a:solidFill>
                <a:schemeClr val="dk1"/>
              </a:solidFill>
              <a:effectLst/>
              <a:latin typeface="+mn-lt"/>
              <a:ea typeface="+mn-ea"/>
              <a:cs typeface="+mn-cs"/>
            </a:rPr>
            <a:t>BFW ENTERPRISES</a:t>
          </a:r>
          <a:r>
            <a:rPr lang="en-US" sz="1100" baseline="0">
              <a:solidFill>
                <a:schemeClr val="dk1"/>
              </a:solidFill>
              <a:effectLst/>
              <a:latin typeface="+mn-lt"/>
              <a:ea typeface="+mn-ea"/>
              <a:cs typeface="+mn-cs"/>
            </a:rPr>
            <a:t> LLC</a:t>
          </a:r>
          <a:r>
            <a:rPr lang="en-US"/>
            <a:t> AND ITS AFFILIATES AND SUPPLIERS HAVE BEEN ADVISED OF THE POSSIBILITY OF SUCH DAMAGES. THIS AGREEMENT SETS FORTH THE ENTIRE LIABILITY OF</a:t>
          </a:r>
          <a:r>
            <a:rPr lang="en-US" baseline="0"/>
            <a:t> </a:t>
          </a:r>
          <a:r>
            <a:rPr lang="en-US" sz="1100">
              <a:solidFill>
                <a:schemeClr val="dk1"/>
              </a:solidFill>
              <a:effectLst/>
              <a:latin typeface="+mn-lt"/>
              <a:ea typeface="+mn-ea"/>
              <a:cs typeface="+mn-cs"/>
            </a:rPr>
            <a:t>BFW ENTERPRISES</a:t>
          </a:r>
          <a:r>
            <a:rPr lang="en-US" sz="1100" baseline="0">
              <a:solidFill>
                <a:schemeClr val="dk1"/>
              </a:solidFill>
              <a:effectLst/>
              <a:latin typeface="+mn-lt"/>
              <a:ea typeface="+mn-ea"/>
              <a:cs typeface="+mn-cs"/>
            </a:rPr>
            <a:t> LLC</a:t>
          </a:r>
          <a:r>
            <a:rPr lang="en-US"/>
            <a:t>, ITS AFFILIATES AND YOUR EXCLUSIVE REMEDY WITH RESPECT TO THE SOFTWARE AND ITS USE.</a:t>
          </a:r>
          <a:br>
            <a:rPr lang="en-US"/>
          </a:br>
          <a:r>
            <a:rPr lang="en-US"/>
            <a:t/>
          </a:r>
          <a:br>
            <a:rPr lang="en-US"/>
          </a:br>
          <a:r>
            <a:rPr lang="en-US"/>
            <a:t>You agree to indemnify and hold </a:t>
          </a:r>
          <a:r>
            <a:rPr lang="en-US" sz="1100">
              <a:solidFill>
                <a:schemeClr val="dk1"/>
              </a:solidFill>
              <a:effectLst/>
              <a:latin typeface="+mn-lt"/>
              <a:ea typeface="+mn-ea"/>
              <a:cs typeface="+mn-cs"/>
            </a:rPr>
            <a:t>BFW ENTERPRISES</a:t>
          </a:r>
          <a:r>
            <a:rPr lang="en-US" sz="1100" baseline="0">
              <a:solidFill>
                <a:schemeClr val="dk1"/>
              </a:solidFill>
              <a:effectLst/>
              <a:latin typeface="+mn-lt"/>
              <a:ea typeface="+mn-ea"/>
              <a:cs typeface="+mn-cs"/>
            </a:rPr>
            <a:t> LLC</a:t>
          </a:r>
          <a:r>
            <a:rPr lang="en-US"/>
            <a:t> and its Affiliates and Suppliers harmless from any and all claims, liability and expenses, including reasonable attorneys' fees and costs, arising out of your use of the Software or breach of this Agreement (collectively referred to as "Claims"). </a:t>
          </a:r>
          <a:r>
            <a:rPr lang="en-US" sz="1100">
              <a:solidFill>
                <a:schemeClr val="dk1"/>
              </a:solidFill>
              <a:effectLst/>
              <a:latin typeface="+mn-lt"/>
              <a:ea typeface="+mn-ea"/>
              <a:cs typeface="+mn-cs"/>
            </a:rPr>
            <a:t>BFW ENTERPRISES</a:t>
          </a:r>
          <a:r>
            <a:rPr lang="en-US" sz="1100" baseline="0">
              <a:solidFill>
                <a:schemeClr val="dk1"/>
              </a:solidFill>
              <a:effectLst/>
              <a:latin typeface="+mn-lt"/>
              <a:ea typeface="+mn-ea"/>
              <a:cs typeface="+mn-cs"/>
            </a:rPr>
            <a:t> LLC</a:t>
          </a:r>
          <a:r>
            <a:rPr lang="en-US"/>
            <a:t> reserves the right, in its sole discretion and at its own expense, to assume the exclusive defense and control of any Claims. You agree to reasonably cooperate as requested by </a:t>
          </a:r>
          <a:r>
            <a:rPr lang="en-US" sz="1100">
              <a:solidFill>
                <a:schemeClr val="dk1"/>
              </a:solidFill>
              <a:effectLst/>
              <a:latin typeface="+mn-lt"/>
              <a:ea typeface="+mn-ea"/>
              <a:cs typeface="+mn-cs"/>
            </a:rPr>
            <a:t>BFW ENTERPRISES</a:t>
          </a:r>
          <a:r>
            <a:rPr lang="en-US" sz="1100" baseline="0">
              <a:solidFill>
                <a:schemeClr val="dk1"/>
              </a:solidFill>
              <a:effectLst/>
              <a:latin typeface="+mn-lt"/>
              <a:ea typeface="+mn-ea"/>
              <a:cs typeface="+mn-cs"/>
            </a:rPr>
            <a:t> LLC</a:t>
          </a:r>
          <a:r>
            <a:rPr lang="en-US" sz="1100">
              <a:solidFill>
                <a:schemeClr val="dk1"/>
              </a:solidFill>
              <a:effectLst/>
              <a:latin typeface="+mn-lt"/>
              <a:ea typeface="+mn-ea"/>
              <a:cs typeface="+mn-cs"/>
            </a:rPr>
            <a:t> </a:t>
          </a:r>
          <a:r>
            <a:rPr lang="en-US"/>
            <a:t>in the defense of any Claims.</a:t>
          </a:r>
        </a:p>
        <a:p>
          <a:endParaRPr lang="en-US" sz="1100"/>
        </a:p>
        <a:p>
          <a:r>
            <a:rPr lang="en-US" sz="1100"/>
            <a:t>BFW Enterprises LLC</a:t>
          </a:r>
        </a:p>
        <a:p>
          <a:r>
            <a:rPr lang="en-US" sz="1100"/>
            <a:t>24 Narrow Rocks Rd</a:t>
          </a:r>
        </a:p>
        <a:p>
          <a:r>
            <a:rPr lang="en-US" sz="1100"/>
            <a:t>Westport CT 06880</a:t>
          </a:r>
        </a:p>
        <a:p>
          <a:r>
            <a:rPr lang="en-US" sz="1100"/>
            <a:t>USA</a:t>
          </a:r>
        </a:p>
        <a:p>
          <a:r>
            <a:rPr lang="en-US" sz="1100"/>
            <a:t>customer.service@planephd.com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386888</xdr:colOff>
      <xdr:row>34</xdr:row>
      <xdr:rowOff>587</xdr:rowOff>
    </xdr:from>
    <xdr:to>
      <xdr:col>11</xdr:col>
      <xdr:colOff>525829</xdr:colOff>
      <xdr:row>50</xdr:row>
      <xdr:rowOff>70448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1"/>
  <sheetViews>
    <sheetView tabSelected="1" workbookViewId="0">
      <selection activeCell="B1" sqref="B1"/>
    </sheetView>
  </sheetViews>
  <sheetFormatPr defaultRowHeight="15" x14ac:dyDescent="0.25"/>
  <cols>
    <col min="1" max="1" width="17.5703125" customWidth="1"/>
    <col min="2" max="2" width="107.7109375" customWidth="1"/>
    <col min="4" max="4" width="16.5703125" bestFit="1" customWidth="1"/>
    <col min="7" max="7" width="10.5703125" bestFit="1" customWidth="1"/>
    <col min="16" max="16" width="10.5703125" bestFit="1" customWidth="1"/>
  </cols>
  <sheetData>
    <row r="1" spans="1:5" x14ac:dyDescent="0.25">
      <c r="A1" s="156" t="s">
        <v>149</v>
      </c>
      <c r="B1" s="92"/>
      <c r="D1" s="92"/>
      <c r="E1" s="92"/>
    </row>
    <row r="2" spans="1:5" ht="14.45" x14ac:dyDescent="0.3">
      <c r="A2" s="157" t="s">
        <v>226</v>
      </c>
      <c r="B2" s="158">
        <f>+Decode!I5</f>
        <v>0</v>
      </c>
      <c r="E2" s="92"/>
    </row>
    <row r="4" spans="1:5" ht="21" x14ac:dyDescent="0.3">
      <c r="A4" s="112" t="s">
        <v>204</v>
      </c>
      <c r="B4" s="121"/>
    </row>
    <row r="41" spans="1:2" ht="21" x14ac:dyDescent="0.3">
      <c r="A41" s="112" t="s">
        <v>231</v>
      </c>
      <c r="B41" s="12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83"/>
  <sheetViews>
    <sheetView zoomScale="98" workbookViewId="0">
      <selection activeCell="B4" sqref="B4"/>
    </sheetView>
  </sheetViews>
  <sheetFormatPr defaultRowHeight="15" x14ac:dyDescent="0.25"/>
  <cols>
    <col min="1" max="1" width="23.85546875" customWidth="1"/>
    <col min="2" max="2" width="126.28515625" style="120" customWidth="1"/>
  </cols>
  <sheetData>
    <row r="1" spans="1:2" ht="23.45" x14ac:dyDescent="0.45">
      <c r="A1" s="111" t="s">
        <v>205</v>
      </c>
      <c r="B1" s="118"/>
    </row>
    <row r="2" spans="1:2" ht="23.45" x14ac:dyDescent="0.45">
      <c r="A2" s="111"/>
      <c r="B2" s="118"/>
    </row>
    <row r="3" spans="1:2" ht="21" x14ac:dyDescent="0.3">
      <c r="A3" s="110" t="s">
        <v>167</v>
      </c>
      <c r="B3" s="119"/>
    </row>
    <row r="4" spans="1:2" ht="28.9" x14ac:dyDescent="0.3">
      <c r="A4" s="109" t="s">
        <v>164</v>
      </c>
      <c r="B4" s="117" t="s">
        <v>161</v>
      </c>
    </row>
    <row r="5" spans="1:2" ht="43.15" x14ac:dyDescent="0.3">
      <c r="A5" s="108" t="s">
        <v>100</v>
      </c>
      <c r="B5" s="117" t="s">
        <v>162</v>
      </c>
    </row>
    <row r="6" spans="1:2" ht="14.45" x14ac:dyDescent="0.3">
      <c r="A6" s="108" t="s">
        <v>97</v>
      </c>
      <c r="B6" s="117" t="s">
        <v>163</v>
      </c>
    </row>
    <row r="7" spans="1:2" ht="14.45" x14ac:dyDescent="0.3">
      <c r="A7" s="107"/>
    </row>
    <row r="8" spans="1:2" ht="21" x14ac:dyDescent="0.3">
      <c r="A8" s="110" t="s">
        <v>91</v>
      </c>
      <c r="B8" s="119"/>
    </row>
    <row r="9" spans="1:2" ht="14.45" x14ac:dyDescent="0.3">
      <c r="A9" s="108" t="s">
        <v>146</v>
      </c>
      <c r="B9" s="117" t="s">
        <v>165</v>
      </c>
    </row>
    <row r="10" spans="1:2" ht="14.45" x14ac:dyDescent="0.3">
      <c r="A10" s="108" t="s">
        <v>77</v>
      </c>
      <c r="B10" s="117" t="s">
        <v>166</v>
      </c>
    </row>
    <row r="11" spans="1:2" ht="14.45" x14ac:dyDescent="0.3">
      <c r="A11" s="108" t="s">
        <v>81</v>
      </c>
      <c r="B11" s="117" t="s">
        <v>176</v>
      </c>
    </row>
    <row r="12" spans="1:2" ht="28.9" x14ac:dyDescent="0.3">
      <c r="A12" s="108" t="s">
        <v>80</v>
      </c>
      <c r="B12" s="117" t="s">
        <v>177</v>
      </c>
    </row>
    <row r="13" spans="1:2" ht="14.45" x14ac:dyDescent="0.3">
      <c r="A13" s="107"/>
    </row>
    <row r="14" spans="1:2" ht="21" x14ac:dyDescent="0.3">
      <c r="A14" s="112" t="s">
        <v>138</v>
      </c>
      <c r="B14" s="121"/>
    </row>
    <row r="15" spans="1:2" ht="15.6" x14ac:dyDescent="0.3">
      <c r="A15" s="113" t="s">
        <v>168</v>
      </c>
      <c r="B15" s="122"/>
    </row>
    <row r="16" spans="1:2" ht="14.45" x14ac:dyDescent="0.3">
      <c r="A16" s="108" t="s">
        <v>104</v>
      </c>
      <c r="B16" s="117" t="s">
        <v>169</v>
      </c>
    </row>
    <row r="17" spans="1:2" ht="28.9" x14ac:dyDescent="0.3">
      <c r="A17" s="108" t="s">
        <v>30</v>
      </c>
      <c r="B17" s="117" t="s">
        <v>202</v>
      </c>
    </row>
    <row r="18" spans="1:2" ht="43.15" x14ac:dyDescent="0.3">
      <c r="A18" s="108" t="s">
        <v>29</v>
      </c>
      <c r="B18" s="117" t="s">
        <v>170</v>
      </c>
    </row>
    <row r="19" spans="1:2" ht="14.45" x14ac:dyDescent="0.3">
      <c r="A19" s="108" t="s">
        <v>27</v>
      </c>
      <c r="B19" s="117" t="s">
        <v>171</v>
      </c>
    </row>
    <row r="20" spans="1:2" ht="14.45" x14ac:dyDescent="0.3">
      <c r="A20" s="108" t="s">
        <v>98</v>
      </c>
      <c r="B20" s="117" t="s">
        <v>172</v>
      </c>
    </row>
    <row r="21" spans="1:2" ht="14.45" x14ac:dyDescent="0.3">
      <c r="A21" s="108" t="s">
        <v>173</v>
      </c>
      <c r="B21" s="117" t="s">
        <v>174</v>
      </c>
    </row>
    <row r="22" spans="1:2" ht="14.45" x14ac:dyDescent="0.3">
      <c r="A22" s="108" t="s">
        <v>101</v>
      </c>
      <c r="B22" s="117" t="s">
        <v>175</v>
      </c>
    </row>
    <row r="23" spans="1:2" ht="14.45" x14ac:dyDescent="0.3">
      <c r="A23" s="107"/>
    </row>
    <row r="24" spans="1:2" ht="14.45" x14ac:dyDescent="0.3">
      <c r="A24" s="107"/>
    </row>
    <row r="25" spans="1:2" ht="21" x14ac:dyDescent="0.3">
      <c r="A25" s="112" t="s">
        <v>6</v>
      </c>
      <c r="B25" s="121"/>
    </row>
    <row r="26" spans="1:2" ht="52.15" customHeight="1" x14ac:dyDescent="0.3">
      <c r="A26" s="236" t="s">
        <v>184</v>
      </c>
      <c r="B26" s="237"/>
    </row>
    <row r="27" spans="1:2" ht="14.45" x14ac:dyDescent="0.3">
      <c r="A27" s="108" t="s">
        <v>104</v>
      </c>
      <c r="B27" s="117" t="s">
        <v>183</v>
      </c>
    </row>
    <row r="28" spans="1:2" ht="14.45" x14ac:dyDescent="0.3">
      <c r="A28" s="108" t="s">
        <v>178</v>
      </c>
      <c r="B28" s="117" t="s">
        <v>179</v>
      </c>
    </row>
    <row r="29" spans="1:2" ht="14.45" x14ac:dyDescent="0.3">
      <c r="A29" s="108" t="s">
        <v>29</v>
      </c>
      <c r="B29" s="117" t="s">
        <v>180</v>
      </c>
    </row>
    <row r="30" spans="1:2" ht="14.45" x14ac:dyDescent="0.3">
      <c r="A30" s="108" t="s">
        <v>173</v>
      </c>
      <c r="B30" s="117" t="s">
        <v>181</v>
      </c>
    </row>
    <row r="31" spans="1:2" ht="14.45" x14ac:dyDescent="0.3">
      <c r="A31" s="108" t="s">
        <v>101</v>
      </c>
      <c r="B31" s="117" t="s">
        <v>182</v>
      </c>
    </row>
    <row r="32" spans="1:2" ht="14.45" x14ac:dyDescent="0.3">
      <c r="A32" s="107"/>
    </row>
    <row r="33" spans="1:2" ht="14.45" x14ac:dyDescent="0.3">
      <c r="A33" s="107"/>
    </row>
    <row r="34" spans="1:2" ht="14.45" x14ac:dyDescent="0.3">
      <c r="A34" s="107"/>
    </row>
    <row r="35" spans="1:2" ht="14.45" x14ac:dyDescent="0.3">
      <c r="A35" s="107"/>
    </row>
    <row r="36" spans="1:2" ht="14.45" x14ac:dyDescent="0.3">
      <c r="A36" s="107"/>
    </row>
    <row r="37" spans="1:2" ht="21" x14ac:dyDescent="0.3">
      <c r="A37" s="112" t="s">
        <v>73</v>
      </c>
      <c r="B37" s="121"/>
    </row>
    <row r="38" spans="1:2" ht="57.6" customHeight="1" x14ac:dyDescent="0.3">
      <c r="A38" s="236" t="s">
        <v>195</v>
      </c>
      <c r="B38" s="237"/>
    </row>
    <row r="39" spans="1:2" x14ac:dyDescent="0.25">
      <c r="A39" s="108" t="s">
        <v>104</v>
      </c>
      <c r="B39" s="117" t="s">
        <v>185</v>
      </c>
    </row>
    <row r="40" spans="1:2" ht="30" x14ac:dyDescent="0.25">
      <c r="A40" s="108" t="s">
        <v>93</v>
      </c>
      <c r="B40" s="117" t="s">
        <v>186</v>
      </c>
    </row>
    <row r="41" spans="1:2" ht="75" x14ac:dyDescent="0.25">
      <c r="A41" s="108" t="s">
        <v>29</v>
      </c>
      <c r="B41" s="117" t="s">
        <v>187</v>
      </c>
    </row>
    <row r="42" spans="1:2" ht="30" x14ac:dyDescent="0.25">
      <c r="A42" s="108" t="s">
        <v>41</v>
      </c>
      <c r="B42" s="117" t="s">
        <v>243</v>
      </c>
    </row>
    <row r="43" spans="1:2" x14ac:dyDescent="0.25">
      <c r="A43" s="108" t="s">
        <v>42</v>
      </c>
      <c r="B43" s="117" t="s">
        <v>188</v>
      </c>
    </row>
    <row r="44" spans="1:2" ht="60" x14ac:dyDescent="0.25">
      <c r="A44" s="114" t="s">
        <v>43</v>
      </c>
      <c r="B44" s="123" t="s">
        <v>242</v>
      </c>
    </row>
    <row r="45" spans="1:2" x14ac:dyDescent="0.25">
      <c r="A45" s="114" t="s">
        <v>37</v>
      </c>
      <c r="B45" s="123" t="s">
        <v>189</v>
      </c>
    </row>
    <row r="46" spans="1:2" x14ac:dyDescent="0.25">
      <c r="A46" s="114" t="s">
        <v>38</v>
      </c>
      <c r="B46" s="123" t="s">
        <v>190</v>
      </c>
    </row>
    <row r="47" spans="1:2" x14ac:dyDescent="0.25">
      <c r="A47" s="108" t="s">
        <v>85</v>
      </c>
      <c r="B47" s="117" t="s">
        <v>191</v>
      </c>
    </row>
    <row r="48" spans="1:2" x14ac:dyDescent="0.25">
      <c r="A48" s="108" t="s">
        <v>39</v>
      </c>
      <c r="B48" s="117" t="s">
        <v>192</v>
      </c>
    </row>
    <row r="49" spans="1:2" x14ac:dyDescent="0.25">
      <c r="A49" s="108" t="s">
        <v>94</v>
      </c>
      <c r="B49" s="117" t="s">
        <v>193</v>
      </c>
    </row>
    <row r="50" spans="1:2" x14ac:dyDescent="0.25">
      <c r="A50" s="108" t="s">
        <v>9</v>
      </c>
      <c r="B50" s="117" t="s">
        <v>194</v>
      </c>
    </row>
    <row r="51" spans="1:2" x14ac:dyDescent="0.25">
      <c r="A51" s="107"/>
    </row>
    <row r="52" spans="1:2" x14ac:dyDescent="0.25">
      <c r="A52" s="107"/>
    </row>
    <row r="53" spans="1:2" ht="21" x14ac:dyDescent="0.25">
      <c r="A53" s="112" t="s">
        <v>70</v>
      </c>
      <c r="B53" s="121"/>
    </row>
    <row r="54" spans="1:2" ht="21" customHeight="1" x14ac:dyDescent="0.25">
      <c r="A54" s="238" t="s">
        <v>196</v>
      </c>
      <c r="B54" s="239"/>
    </row>
    <row r="55" spans="1:2" ht="15.75" x14ac:dyDescent="0.25">
      <c r="A55" s="236" t="s">
        <v>197</v>
      </c>
      <c r="B55" s="237"/>
    </row>
    <row r="56" spans="1:2" x14ac:dyDescent="0.25">
      <c r="A56" s="115" t="s">
        <v>104</v>
      </c>
      <c r="B56" s="124" t="s">
        <v>201</v>
      </c>
    </row>
    <row r="57" spans="1:2" x14ac:dyDescent="0.25">
      <c r="A57" s="115" t="s">
        <v>19</v>
      </c>
      <c r="B57" s="124" t="s">
        <v>198</v>
      </c>
    </row>
    <row r="58" spans="1:2" ht="90" x14ac:dyDescent="0.25">
      <c r="A58" s="108" t="s">
        <v>17</v>
      </c>
      <c r="B58" s="117" t="s">
        <v>199</v>
      </c>
    </row>
    <row r="59" spans="1:2" x14ac:dyDescent="0.25">
      <c r="A59" s="108" t="s">
        <v>16</v>
      </c>
      <c r="B59" s="117" t="s">
        <v>200</v>
      </c>
    </row>
    <row r="60" spans="1:2" ht="75" x14ac:dyDescent="0.25">
      <c r="A60" s="108" t="s">
        <v>76</v>
      </c>
      <c r="B60" s="117" t="s">
        <v>247</v>
      </c>
    </row>
    <row r="61" spans="1:2" x14ac:dyDescent="0.25">
      <c r="A61" s="108" t="s">
        <v>24</v>
      </c>
      <c r="B61" s="117" t="s">
        <v>246</v>
      </c>
    </row>
    <row r="62" spans="1:2" x14ac:dyDescent="0.25">
      <c r="A62" s="107"/>
    </row>
    <row r="63" spans="1:2" x14ac:dyDescent="0.25">
      <c r="A63" s="107"/>
      <c r="B63" s="120">
        <v>0.5</v>
      </c>
    </row>
    <row r="64" spans="1:2" x14ac:dyDescent="0.25">
      <c r="A64" s="107"/>
      <c r="B64" s="120">
        <v>1.5</v>
      </c>
    </row>
    <row r="65" spans="1:2" x14ac:dyDescent="0.25">
      <c r="A65" s="107"/>
      <c r="B65" s="120">
        <f>+B63/SUM(B63:B64)</f>
        <v>0.25</v>
      </c>
    </row>
    <row r="66" spans="1:2" x14ac:dyDescent="0.25">
      <c r="A66" s="107"/>
    </row>
    <row r="67" spans="1:2" x14ac:dyDescent="0.25">
      <c r="A67" s="107"/>
    </row>
    <row r="68" spans="1:2" x14ac:dyDescent="0.25">
      <c r="A68" s="107"/>
    </row>
    <row r="69" spans="1:2" x14ac:dyDescent="0.25">
      <c r="A69" s="107"/>
    </row>
    <row r="70" spans="1:2" x14ac:dyDescent="0.25">
      <c r="A70" s="107"/>
    </row>
    <row r="71" spans="1:2" x14ac:dyDescent="0.25">
      <c r="A71" s="107"/>
    </row>
    <row r="72" spans="1:2" x14ac:dyDescent="0.25">
      <c r="A72" s="107"/>
    </row>
    <row r="73" spans="1:2" x14ac:dyDescent="0.25">
      <c r="A73" s="107"/>
    </row>
    <row r="74" spans="1:2" x14ac:dyDescent="0.25">
      <c r="A74" s="107"/>
    </row>
    <row r="75" spans="1:2" x14ac:dyDescent="0.25">
      <c r="A75" s="107"/>
    </row>
    <row r="76" spans="1:2" x14ac:dyDescent="0.25">
      <c r="A76" s="107"/>
    </row>
    <row r="77" spans="1:2" x14ac:dyDescent="0.25">
      <c r="A77" s="107"/>
    </row>
    <row r="78" spans="1:2" x14ac:dyDescent="0.25">
      <c r="A78" s="107"/>
    </row>
    <row r="79" spans="1:2" x14ac:dyDescent="0.25">
      <c r="A79" s="107"/>
    </row>
    <row r="80" spans="1:2" x14ac:dyDescent="0.25">
      <c r="A80" s="107"/>
    </row>
    <row r="81" spans="1:1" x14ac:dyDescent="0.25">
      <c r="A81" s="107"/>
    </row>
    <row r="82" spans="1:1" x14ac:dyDescent="0.25">
      <c r="A82" s="107"/>
    </row>
    <row r="83" spans="1:1" x14ac:dyDescent="0.25">
      <c r="A83" s="107"/>
    </row>
  </sheetData>
  <mergeCells count="4">
    <mergeCell ref="A26:B26"/>
    <mergeCell ref="A38:B38"/>
    <mergeCell ref="A55:B55"/>
    <mergeCell ref="A54:B54"/>
  </mergeCells>
  <hyperlinks>
    <hyperlink ref="A9" location="cashStartingBalance" display="Starting Balance:"/>
    <hyperlink ref="A10" location="cashTargetBalance" display="Target Balance:"/>
    <hyperlink ref="A11" location="cashDepositRate" display="Deposit Rate:"/>
    <hyperlink ref="A12" location="cashBorrowRate" display="Borrow Rate:"/>
    <hyperlink ref="A16" location="incomeDesc" display="Description:"/>
    <hyperlink ref="A17" location="incomeIncome" display="Income:"/>
    <hyperlink ref="A18" location="incomeGrowth" display="Growth over Inflation"/>
    <hyperlink ref="A19" location="incomeCap" display=" Income Cap:"/>
    <hyperlink ref="A20" location="incomeTaxedAs" display="Taxed as Capital Gain?:"/>
    <hyperlink ref="A21" location="incomeStart" display="Start Age (0 for Today):"/>
    <hyperlink ref="A22" location="incomeEnd" display="End at Age:"/>
    <hyperlink ref="A4" location="inflation" display="inflation"/>
    <hyperlink ref="A5" location="age" display="Your Current Age:"/>
    <hyperlink ref="A6" location="Target401K" display="401K Target Deposit:"/>
    <hyperlink ref="A27" location="expDesc" display="Description:"/>
    <hyperlink ref="A28" location="expAmount" display="Amount:"/>
    <hyperlink ref="A29" location="expGrowth" display="Growth over Inflation"/>
    <hyperlink ref="A30" location="expStart" display="Start Age (0 for Today):"/>
    <hyperlink ref="A31" location="expEnd" display="End at Age:"/>
    <hyperlink ref="A39" location="REDesc" display="Description:"/>
    <hyperlink ref="A40" location="REValue" display="Value (Zero if Renting):"/>
    <hyperlink ref="A41" location="REGrowth" display="Growth over Inflation"/>
    <hyperlink ref="A42" location="REBuy" display="Buy At Age:"/>
    <hyperlink ref="A43" location="RESell" display="Sell at Age:"/>
    <hyperlink ref="A44" location="RELTV" display="Mortgage LTV:"/>
    <hyperlink ref="A45" location="REMtgYrs" display="Mtg Years:"/>
    <hyperlink ref="A46" location="REMtgRate" display="Mtge Rate:"/>
    <hyperlink ref="A47" location="REPropTax" display="Property Tax Rate:"/>
    <hyperlink ref="A48" location="REInsurance" display="Insurance:"/>
    <hyperlink ref="A49" location="REMaint" display="Maintenance (or Rent):"/>
    <hyperlink ref="A50" location="REUtils" display="Utilities:"/>
    <hyperlink ref="A57" location="invBal" display="Balance:"/>
    <hyperlink ref="A58" location="invTRR" display="Total Return:"/>
    <hyperlink ref="A59" location="invDiv" display="Dividend:"/>
    <hyperlink ref="A60" location="invReb" display="Rebalance Target:"/>
    <hyperlink ref="A61" location="invTaxDef" display="Tax Deferred:"/>
    <hyperlink ref="A56" location="invDesc" display="Descriptio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166"/>
  <sheetViews>
    <sheetView zoomScale="77" zoomScaleNormal="85" workbookViewId="0">
      <selection activeCell="B5" sqref="B5"/>
    </sheetView>
  </sheetViews>
  <sheetFormatPr defaultColWidth="8.85546875" defaultRowHeight="15" x14ac:dyDescent="0.25"/>
  <cols>
    <col min="1" max="1" width="25.42578125" style="177" customWidth="1"/>
    <col min="2" max="2" width="12.7109375" style="177" customWidth="1"/>
    <col min="3" max="3" width="14" style="177" customWidth="1"/>
    <col min="4" max="4" width="15" style="177" customWidth="1"/>
    <col min="5" max="5" width="13.7109375" style="177" customWidth="1"/>
    <col min="6" max="6" width="13.42578125" style="194" customWidth="1"/>
    <col min="7" max="7" width="12.28515625" style="194" customWidth="1"/>
    <col min="8" max="8" width="14.140625" style="194" customWidth="1"/>
    <col min="9" max="9" width="13.7109375" style="194" customWidth="1"/>
    <col min="10" max="10" width="12.7109375" style="194" customWidth="1"/>
    <col min="11" max="11" width="11.7109375" style="194" bestFit="1" customWidth="1"/>
    <col min="12" max="12" width="15.28515625" style="194" customWidth="1"/>
    <col min="13" max="13" width="16.28515625" style="194" customWidth="1"/>
    <col min="14" max="14" width="14.140625" style="194" customWidth="1"/>
    <col min="15" max="16" width="8.85546875" style="177"/>
    <col min="17" max="17" width="12" style="177" customWidth="1"/>
    <col min="18" max="18" width="10.28515625" style="177" bestFit="1" customWidth="1"/>
    <col min="19" max="19" width="9.28515625" style="177" bestFit="1" customWidth="1"/>
    <col min="20" max="20" width="10.28515625" style="177" bestFit="1" customWidth="1"/>
    <col min="21" max="21" width="9.28515625" style="177" bestFit="1" customWidth="1"/>
    <col min="22" max="22" width="10.28515625" style="177" bestFit="1" customWidth="1"/>
    <col min="23" max="23" width="10.7109375" style="177" bestFit="1" customWidth="1"/>
    <col min="24" max="16384" width="8.85546875" style="177"/>
  </cols>
  <sheetData>
    <row r="1" spans="1:34" ht="28.9" x14ac:dyDescent="0.55000000000000004">
      <c r="A1" s="180" t="s">
        <v>230</v>
      </c>
      <c r="B1" s="181"/>
      <c r="C1" s="181"/>
      <c r="D1" s="181"/>
      <c r="E1" s="181"/>
      <c r="F1" s="182"/>
      <c r="G1" s="182"/>
      <c r="H1" s="182"/>
      <c r="I1" s="182"/>
      <c r="J1" s="182"/>
      <c r="K1" s="182"/>
      <c r="L1" s="182"/>
      <c r="M1" s="182"/>
      <c r="N1" s="182"/>
      <c r="O1" s="182"/>
    </row>
    <row r="2" spans="1:34" s="186" customFormat="1" ht="21" x14ac:dyDescent="0.4">
      <c r="A2" s="183" t="s">
        <v>227</v>
      </c>
      <c r="B2" s="184"/>
      <c r="C2" s="184"/>
      <c r="D2" s="184"/>
      <c r="E2" s="184"/>
      <c r="F2" s="185"/>
      <c r="G2" s="185"/>
      <c r="H2" s="185"/>
      <c r="I2" s="185"/>
      <c r="J2" s="185"/>
      <c r="K2" s="185"/>
      <c r="L2" s="185"/>
      <c r="M2" s="185"/>
      <c r="N2" s="185"/>
      <c r="O2" s="185"/>
    </row>
    <row r="3" spans="1:34" ht="31.15" x14ac:dyDescent="0.6">
      <c r="A3" s="187"/>
      <c r="B3" s="181"/>
      <c r="C3" s="181"/>
      <c r="D3" s="181"/>
      <c r="E3" s="181"/>
      <c r="F3" s="182"/>
      <c r="G3" s="182"/>
      <c r="H3" s="182"/>
      <c r="I3" s="182"/>
      <c r="J3" s="182"/>
      <c r="K3" s="182"/>
      <c r="L3" s="182"/>
      <c r="M3" s="182"/>
      <c r="N3" s="182"/>
      <c r="O3" s="182"/>
    </row>
    <row r="4" spans="1:34" ht="18" x14ac:dyDescent="0.35">
      <c r="A4" s="188" t="s">
        <v>90</v>
      </c>
      <c r="B4" s="181"/>
      <c r="C4" s="181"/>
      <c r="D4" s="181"/>
      <c r="E4" s="181"/>
      <c r="F4" s="182"/>
      <c r="G4" s="182"/>
      <c r="H4" s="182"/>
      <c r="I4" s="182"/>
      <c r="J4" s="182"/>
      <c r="K4" s="182"/>
      <c r="L4" s="182"/>
      <c r="M4" s="182"/>
      <c r="N4" s="182"/>
      <c r="O4" s="182"/>
    </row>
    <row r="5" spans="1:34" ht="14.45" x14ac:dyDescent="0.3">
      <c r="A5" s="189" t="s">
        <v>61</v>
      </c>
      <c r="B5" s="160">
        <v>0.02</v>
      </c>
      <c r="C5" s="181"/>
      <c r="D5" s="181"/>
      <c r="E5" s="181"/>
      <c r="F5" s="182"/>
      <c r="G5" s="182"/>
      <c r="H5" s="182"/>
      <c r="I5" s="182"/>
      <c r="J5" s="182"/>
      <c r="K5" s="182"/>
      <c r="L5" s="182"/>
      <c r="M5" s="182"/>
      <c r="N5" s="182"/>
      <c r="O5" s="182"/>
      <c r="AH5" s="177" t="s">
        <v>116</v>
      </c>
    </row>
    <row r="6" spans="1:34" ht="14.45" x14ac:dyDescent="0.3">
      <c r="A6" s="190" t="s">
        <v>100</v>
      </c>
      <c r="B6" s="161">
        <v>40</v>
      </c>
      <c r="C6" s="181"/>
      <c r="D6" s="181"/>
      <c r="E6" s="181"/>
      <c r="F6" s="182"/>
      <c r="G6" s="182"/>
      <c r="H6" s="182"/>
      <c r="I6" s="182"/>
      <c r="J6" s="182"/>
      <c r="K6" s="182"/>
      <c r="L6" s="182"/>
      <c r="M6" s="182"/>
      <c r="N6" s="182"/>
      <c r="O6" s="182"/>
      <c r="AH6" s="177" t="s">
        <v>117</v>
      </c>
    </row>
    <row r="7" spans="1:34" ht="14.45" x14ac:dyDescent="0.3">
      <c r="A7" s="190" t="s">
        <v>97</v>
      </c>
      <c r="B7" s="161">
        <v>16000</v>
      </c>
      <c r="C7" s="181"/>
      <c r="D7" s="181"/>
      <c r="E7" s="181"/>
      <c r="F7" s="182"/>
      <c r="G7" s="182"/>
      <c r="H7" s="182"/>
      <c r="I7" s="182"/>
      <c r="J7" s="182"/>
      <c r="K7" s="182"/>
      <c r="L7" s="182"/>
      <c r="M7" s="182"/>
      <c r="N7" s="182"/>
      <c r="O7" s="182"/>
    </row>
    <row r="8" spans="1:34" ht="14.45" x14ac:dyDescent="0.3">
      <c r="A8" s="181"/>
      <c r="B8" s="181"/>
      <c r="C8" s="181"/>
      <c r="D8" s="181"/>
      <c r="E8" s="181"/>
      <c r="F8" s="182"/>
      <c r="G8" s="182"/>
      <c r="H8" s="182"/>
      <c r="I8" s="182"/>
      <c r="J8" s="182"/>
      <c r="K8" s="182"/>
      <c r="L8" s="182"/>
      <c r="M8" s="182"/>
      <c r="N8" s="182"/>
      <c r="O8" s="182"/>
    </row>
    <row r="9" spans="1:34" ht="14.45" x14ac:dyDescent="0.3">
      <c r="A9" s="181"/>
      <c r="B9" s="181"/>
      <c r="C9" s="181"/>
      <c r="D9" s="181"/>
      <c r="E9" s="181"/>
      <c r="F9" s="182"/>
      <c r="G9" s="182"/>
      <c r="H9" s="182"/>
      <c r="I9" s="182"/>
      <c r="J9" s="182"/>
      <c r="K9" s="182"/>
      <c r="L9" s="182"/>
      <c r="M9" s="182"/>
      <c r="N9" s="182"/>
      <c r="O9" s="182"/>
    </row>
    <row r="10" spans="1:34" ht="18" x14ac:dyDescent="0.35">
      <c r="A10" s="188" t="s">
        <v>91</v>
      </c>
      <c r="B10" s="181"/>
      <c r="C10" s="181"/>
      <c r="D10" s="181"/>
      <c r="E10" s="181"/>
      <c r="F10" s="182"/>
      <c r="G10" s="182"/>
      <c r="H10" s="182"/>
      <c r="I10" s="182"/>
      <c r="J10" s="182"/>
      <c r="K10" s="182"/>
      <c r="L10" s="182"/>
      <c r="M10" s="182"/>
      <c r="N10" s="182"/>
      <c r="O10" s="182"/>
    </row>
    <row r="11" spans="1:34" ht="14.45" x14ac:dyDescent="0.3">
      <c r="A11" s="191" t="s">
        <v>146</v>
      </c>
      <c r="B11" s="162">
        <v>10000</v>
      </c>
      <c r="C11" s="181"/>
      <c r="D11" s="181"/>
      <c r="E11" s="181"/>
      <c r="F11" s="182"/>
      <c r="G11" s="182"/>
      <c r="H11" s="182"/>
      <c r="I11" s="182"/>
      <c r="J11" s="182"/>
      <c r="K11" s="182"/>
      <c r="L11" s="182"/>
      <c r="M11" s="182"/>
      <c r="N11" s="182"/>
      <c r="O11" s="182"/>
    </row>
    <row r="12" spans="1:34" ht="14.45" x14ac:dyDescent="0.3">
      <c r="A12" s="191" t="s">
        <v>77</v>
      </c>
      <c r="B12" s="162">
        <v>25000</v>
      </c>
      <c r="C12" s="181"/>
      <c r="D12" s="181"/>
      <c r="E12" s="181"/>
      <c r="F12" s="182"/>
      <c r="G12" s="182"/>
      <c r="H12" s="182"/>
      <c r="I12" s="182"/>
      <c r="J12" s="182"/>
      <c r="K12" s="182"/>
      <c r="L12" s="182"/>
      <c r="M12" s="182"/>
      <c r="N12" s="182"/>
      <c r="O12" s="182"/>
    </row>
    <row r="13" spans="1:34" ht="14.45" x14ac:dyDescent="0.3">
      <c r="A13" s="191" t="s">
        <v>81</v>
      </c>
      <c r="B13" s="160">
        <f>+inflation</f>
        <v>0.02</v>
      </c>
      <c r="C13" s="181"/>
      <c r="D13" s="181"/>
      <c r="E13" s="181"/>
      <c r="F13" s="182"/>
      <c r="G13" s="182"/>
      <c r="H13" s="182"/>
      <c r="I13" s="182"/>
      <c r="J13" s="182"/>
      <c r="K13" s="182"/>
      <c r="L13" s="182"/>
      <c r="M13" s="182"/>
      <c r="N13" s="182"/>
      <c r="O13" s="182"/>
    </row>
    <row r="14" spans="1:34" ht="14.45" x14ac:dyDescent="0.3">
      <c r="A14" s="191" t="s">
        <v>80</v>
      </c>
      <c r="B14" s="160">
        <f>+inflation+0.03</f>
        <v>0.05</v>
      </c>
      <c r="C14" s="181"/>
      <c r="D14" s="181"/>
      <c r="E14" s="181"/>
      <c r="F14" s="182"/>
      <c r="G14" s="182"/>
      <c r="H14" s="182"/>
      <c r="I14" s="182"/>
      <c r="J14" s="182"/>
      <c r="K14" s="182"/>
      <c r="L14" s="182"/>
      <c r="M14" s="182"/>
      <c r="N14" s="182"/>
      <c r="O14" s="182"/>
    </row>
    <row r="15" spans="1:34" ht="14.45" x14ac:dyDescent="0.3">
      <c r="A15" s="181"/>
      <c r="B15" s="181"/>
      <c r="C15" s="181"/>
      <c r="D15" s="181"/>
      <c r="E15" s="181"/>
      <c r="F15" s="182"/>
      <c r="G15" s="182"/>
      <c r="H15" s="182"/>
      <c r="I15" s="182"/>
      <c r="J15" s="182"/>
      <c r="K15" s="182"/>
      <c r="L15" s="182"/>
      <c r="M15" s="182"/>
      <c r="N15" s="182"/>
      <c r="O15" s="182"/>
    </row>
    <row r="16" spans="1:34" ht="14.45" x14ac:dyDescent="0.3">
      <c r="A16" s="181"/>
      <c r="B16" s="181"/>
      <c r="C16" s="181"/>
      <c r="D16" s="181"/>
      <c r="E16" s="181"/>
      <c r="F16" s="182"/>
      <c r="G16" s="182"/>
      <c r="H16" s="182"/>
      <c r="I16" s="182"/>
      <c r="J16" s="182"/>
      <c r="K16" s="182"/>
      <c r="L16" s="182"/>
      <c r="M16" s="182"/>
      <c r="N16" s="182"/>
      <c r="O16" s="182"/>
    </row>
    <row r="17" spans="1:15" ht="18" x14ac:dyDescent="0.35">
      <c r="A17" s="188" t="s">
        <v>92</v>
      </c>
      <c r="B17" s="181"/>
      <c r="C17" s="181"/>
      <c r="D17" s="181"/>
      <c r="E17" s="181"/>
      <c r="F17" s="182"/>
      <c r="G17" s="182"/>
      <c r="H17" s="182"/>
      <c r="I17" s="182"/>
      <c r="J17" s="182"/>
      <c r="K17" s="182"/>
      <c r="L17" s="182"/>
      <c r="M17" s="182"/>
      <c r="N17" s="182"/>
      <c r="O17" s="182"/>
    </row>
    <row r="18" spans="1:15" ht="14.45" x14ac:dyDescent="0.3">
      <c r="A18" s="189" t="s">
        <v>104</v>
      </c>
      <c r="B18" s="163" t="s">
        <v>25</v>
      </c>
      <c r="C18" s="163" t="s">
        <v>10</v>
      </c>
      <c r="D18" s="163" t="s">
        <v>28</v>
      </c>
      <c r="E18" s="163" t="s">
        <v>34</v>
      </c>
      <c r="F18" s="163" t="s">
        <v>45</v>
      </c>
      <c r="G18" s="163" t="s">
        <v>45</v>
      </c>
      <c r="H18" s="163" t="s">
        <v>45</v>
      </c>
      <c r="I18" s="192" t="s">
        <v>232</v>
      </c>
      <c r="J18" s="182"/>
      <c r="K18" s="182"/>
      <c r="L18" s="182"/>
      <c r="M18" s="182"/>
      <c r="N18" s="182"/>
      <c r="O18" s="182"/>
    </row>
    <row r="19" spans="1:15" ht="14.45" x14ac:dyDescent="0.3">
      <c r="A19" s="189" t="s">
        <v>30</v>
      </c>
      <c r="B19" s="161">
        <v>100000</v>
      </c>
      <c r="C19" s="161">
        <v>5000</v>
      </c>
      <c r="D19" s="161">
        <v>0</v>
      </c>
      <c r="E19" s="161">
        <v>25000</v>
      </c>
      <c r="F19" s="161">
        <v>0</v>
      </c>
      <c r="G19" s="161">
        <v>0</v>
      </c>
      <c r="H19" s="161">
        <v>0</v>
      </c>
      <c r="I19" s="182"/>
      <c r="J19" s="182"/>
      <c r="K19" s="182"/>
      <c r="L19" s="182"/>
      <c r="M19" s="182"/>
      <c r="N19" s="182"/>
      <c r="O19" s="182"/>
    </row>
    <row r="20" spans="1:15" ht="14.45" x14ac:dyDescent="0.3">
      <c r="A20" s="193" t="s">
        <v>29</v>
      </c>
      <c r="B20" s="160">
        <v>0.05</v>
      </c>
      <c r="C20" s="160">
        <v>0.05</v>
      </c>
      <c r="D20" s="160">
        <v>0</v>
      </c>
      <c r="E20" s="160">
        <v>0</v>
      </c>
      <c r="F20" s="160">
        <v>0</v>
      </c>
      <c r="G20" s="160">
        <v>0</v>
      </c>
      <c r="H20" s="160">
        <v>0</v>
      </c>
      <c r="I20" s="182"/>
      <c r="J20" s="182"/>
      <c r="K20" s="182"/>
      <c r="L20" s="182"/>
      <c r="M20" s="182"/>
      <c r="N20" s="182"/>
      <c r="O20" s="182"/>
    </row>
    <row r="21" spans="1:15" ht="14.45" x14ac:dyDescent="0.3">
      <c r="A21" s="193" t="s">
        <v>27</v>
      </c>
      <c r="B21" s="164">
        <v>150000</v>
      </c>
      <c r="C21" s="164">
        <v>25000</v>
      </c>
      <c r="D21" s="164" t="b">
        <v>0</v>
      </c>
      <c r="E21" s="164" t="b">
        <v>0</v>
      </c>
      <c r="F21" s="164" t="b">
        <v>0</v>
      </c>
      <c r="G21" s="164" t="b">
        <v>0</v>
      </c>
      <c r="H21" s="164" t="b">
        <v>0</v>
      </c>
      <c r="I21" s="182"/>
      <c r="J21" s="182"/>
      <c r="K21" s="182"/>
      <c r="L21" s="182"/>
      <c r="M21" s="182"/>
      <c r="N21" s="182"/>
      <c r="O21" s="182"/>
    </row>
    <row r="22" spans="1:15" ht="14.45" x14ac:dyDescent="0.3">
      <c r="A22" s="190" t="s">
        <v>98</v>
      </c>
      <c r="B22" s="164" t="b">
        <v>0</v>
      </c>
      <c r="C22" s="164" t="b">
        <v>0</v>
      </c>
      <c r="D22" s="164" t="b">
        <v>1</v>
      </c>
      <c r="E22" s="164" t="b">
        <v>0</v>
      </c>
      <c r="F22" s="164" t="b">
        <v>0</v>
      </c>
      <c r="G22" s="164" t="b">
        <v>0</v>
      </c>
      <c r="H22" s="164" t="b">
        <v>0</v>
      </c>
      <c r="I22" s="182"/>
      <c r="J22" s="182"/>
      <c r="K22" s="182"/>
      <c r="L22" s="182"/>
      <c r="M22" s="182"/>
      <c r="N22" s="182"/>
      <c r="O22" s="182"/>
    </row>
    <row r="23" spans="1:15" ht="14.45" x14ac:dyDescent="0.3">
      <c r="A23" s="193" t="s">
        <v>99</v>
      </c>
      <c r="B23" s="164">
        <v>0</v>
      </c>
      <c r="C23" s="164">
        <v>0</v>
      </c>
      <c r="D23" s="164">
        <v>0</v>
      </c>
      <c r="E23" s="164">
        <v>67</v>
      </c>
      <c r="F23" s="164">
        <v>0</v>
      </c>
      <c r="G23" s="164">
        <v>0</v>
      </c>
      <c r="H23" s="164">
        <v>0</v>
      </c>
      <c r="I23" s="182"/>
      <c r="J23" s="182"/>
      <c r="K23" s="182"/>
      <c r="L23" s="182"/>
      <c r="M23" s="182"/>
      <c r="N23" s="182"/>
      <c r="O23" s="182"/>
    </row>
    <row r="24" spans="1:15" ht="14.45" x14ac:dyDescent="0.3">
      <c r="A24" s="193" t="s">
        <v>101</v>
      </c>
      <c r="B24" s="164">
        <v>67</v>
      </c>
      <c r="C24" s="164">
        <v>67</v>
      </c>
      <c r="D24" s="164">
        <v>99</v>
      </c>
      <c r="E24" s="164">
        <v>999</v>
      </c>
      <c r="F24" s="164">
        <v>67</v>
      </c>
      <c r="G24" s="164">
        <v>67</v>
      </c>
      <c r="H24" s="164">
        <v>67</v>
      </c>
      <c r="I24" s="182"/>
      <c r="J24" s="182"/>
      <c r="K24" s="182"/>
      <c r="L24" s="182"/>
      <c r="M24" s="182"/>
      <c r="N24" s="182"/>
      <c r="O24" s="182"/>
    </row>
    <row r="25" spans="1:15" ht="14.45" x14ac:dyDescent="0.3">
      <c r="A25" s="181"/>
      <c r="B25" s="181"/>
      <c r="C25" s="181"/>
      <c r="D25" s="181"/>
      <c r="E25" s="181"/>
      <c r="F25" s="182"/>
      <c r="G25" s="182"/>
      <c r="H25" s="182"/>
      <c r="I25" s="182"/>
      <c r="J25" s="182"/>
      <c r="K25" s="182"/>
      <c r="L25" s="182"/>
      <c r="M25" s="182"/>
      <c r="N25" s="182"/>
      <c r="O25" s="182"/>
    </row>
    <row r="26" spans="1:15" ht="14.45" x14ac:dyDescent="0.3">
      <c r="A26" s="181"/>
      <c r="B26" s="181"/>
      <c r="C26" s="181"/>
      <c r="D26" s="181"/>
      <c r="E26" s="181"/>
      <c r="F26" s="182"/>
      <c r="G26" s="182"/>
      <c r="H26" s="182"/>
      <c r="I26" s="182"/>
      <c r="J26" s="182"/>
      <c r="K26" s="182"/>
      <c r="L26" s="182"/>
      <c r="M26" s="182"/>
      <c r="N26" s="182"/>
      <c r="O26" s="182"/>
    </row>
    <row r="27" spans="1:15" ht="18" x14ac:dyDescent="0.35">
      <c r="A27" s="188" t="s">
        <v>105</v>
      </c>
      <c r="B27" s="181"/>
      <c r="C27" s="181"/>
      <c r="D27" s="181"/>
      <c r="E27" s="181"/>
      <c r="F27" s="182"/>
      <c r="G27" s="182"/>
      <c r="H27" s="182"/>
      <c r="I27" s="182"/>
      <c r="J27" s="182"/>
      <c r="K27" s="182"/>
      <c r="L27" s="182"/>
      <c r="M27" s="182"/>
      <c r="N27" s="182"/>
      <c r="O27" s="182"/>
    </row>
    <row r="28" spans="1:15" ht="30" x14ac:dyDescent="0.25">
      <c r="A28" s="189" t="s">
        <v>104</v>
      </c>
      <c r="B28" s="165" t="s">
        <v>249</v>
      </c>
      <c r="C28" s="165" t="s">
        <v>46</v>
      </c>
      <c r="D28" s="165" t="s">
        <v>35</v>
      </c>
      <c r="E28" s="165" t="s">
        <v>45</v>
      </c>
      <c r="F28" s="166" t="s">
        <v>45</v>
      </c>
      <c r="G28" s="166" t="s">
        <v>45</v>
      </c>
      <c r="H28" s="166" t="s">
        <v>45</v>
      </c>
      <c r="I28" s="166" t="s">
        <v>45</v>
      </c>
      <c r="J28" s="166" t="s">
        <v>45</v>
      </c>
      <c r="K28" s="166" t="s">
        <v>45</v>
      </c>
      <c r="L28" s="192" t="s">
        <v>232</v>
      </c>
      <c r="M28" s="182"/>
      <c r="N28" s="182"/>
      <c r="O28" s="182"/>
    </row>
    <row r="29" spans="1:15" ht="14.45" x14ac:dyDescent="0.3">
      <c r="A29" s="189" t="s">
        <v>178</v>
      </c>
      <c r="B29" s="161">
        <v>60000</v>
      </c>
      <c r="C29" s="161">
        <v>50000</v>
      </c>
      <c r="D29" s="161">
        <v>25000</v>
      </c>
      <c r="E29" s="161">
        <v>0</v>
      </c>
      <c r="F29" s="161">
        <v>0</v>
      </c>
      <c r="G29" s="161">
        <v>0</v>
      </c>
      <c r="H29" s="161">
        <v>0</v>
      </c>
      <c r="I29" s="161">
        <v>0</v>
      </c>
      <c r="J29" s="161">
        <v>0</v>
      </c>
      <c r="K29" s="161">
        <v>0</v>
      </c>
      <c r="L29" s="182"/>
      <c r="M29" s="182"/>
      <c r="N29" s="182"/>
      <c r="O29" s="182"/>
    </row>
    <row r="30" spans="1:15" ht="14.45" x14ac:dyDescent="0.3">
      <c r="A30" s="193" t="s">
        <v>29</v>
      </c>
      <c r="B30" s="160">
        <v>0.05</v>
      </c>
      <c r="C30" s="160">
        <v>0</v>
      </c>
      <c r="D30" s="160">
        <v>0</v>
      </c>
      <c r="E30" s="160">
        <v>0</v>
      </c>
      <c r="F30" s="160">
        <v>0</v>
      </c>
      <c r="G30" s="160">
        <v>0</v>
      </c>
      <c r="H30" s="160">
        <v>0</v>
      </c>
      <c r="I30" s="160">
        <v>0</v>
      </c>
      <c r="J30" s="160">
        <v>0</v>
      </c>
      <c r="K30" s="160">
        <v>0</v>
      </c>
      <c r="L30" s="182"/>
      <c r="M30" s="182"/>
      <c r="N30" s="182"/>
      <c r="O30" s="182"/>
    </row>
    <row r="31" spans="1:15" ht="14.45" x14ac:dyDescent="0.3">
      <c r="A31" s="193" t="s">
        <v>33</v>
      </c>
      <c r="B31" s="164">
        <v>0</v>
      </c>
      <c r="C31" s="164">
        <v>68</v>
      </c>
      <c r="D31" s="164">
        <v>50</v>
      </c>
      <c r="E31" s="164">
        <v>51</v>
      </c>
      <c r="F31" s="164">
        <v>51</v>
      </c>
      <c r="G31" s="164">
        <v>51</v>
      </c>
      <c r="H31" s="164">
        <v>51</v>
      </c>
      <c r="I31" s="164">
        <v>51</v>
      </c>
      <c r="J31" s="164">
        <v>51</v>
      </c>
      <c r="K31" s="164">
        <v>51</v>
      </c>
      <c r="L31" s="182"/>
      <c r="M31" s="182"/>
      <c r="N31" s="182"/>
      <c r="O31" s="182"/>
    </row>
    <row r="32" spans="1:15" ht="14.45" x14ac:dyDescent="0.3">
      <c r="A32" s="193" t="s">
        <v>101</v>
      </c>
      <c r="B32" s="164">
        <v>67</v>
      </c>
      <c r="C32" s="164">
        <v>150</v>
      </c>
      <c r="D32" s="164">
        <v>53</v>
      </c>
      <c r="E32" s="164">
        <v>58</v>
      </c>
      <c r="F32" s="164">
        <v>58</v>
      </c>
      <c r="G32" s="164">
        <v>58</v>
      </c>
      <c r="H32" s="164">
        <v>58</v>
      </c>
      <c r="I32" s="164">
        <v>58</v>
      </c>
      <c r="J32" s="164">
        <v>58</v>
      </c>
      <c r="K32" s="164">
        <v>58</v>
      </c>
      <c r="L32" s="182"/>
      <c r="M32" s="182"/>
      <c r="N32" s="182"/>
      <c r="O32" s="182"/>
    </row>
    <row r="33" spans="1:17" ht="14.45" x14ac:dyDescent="0.3">
      <c r="A33" s="181"/>
      <c r="B33" s="181"/>
      <c r="C33" s="181"/>
      <c r="D33" s="181"/>
      <c r="E33" s="181"/>
      <c r="F33" s="182"/>
      <c r="G33" s="182"/>
      <c r="H33" s="182"/>
      <c r="I33" s="182"/>
      <c r="J33" s="182"/>
      <c r="K33" s="182"/>
      <c r="L33" s="182"/>
      <c r="M33" s="182"/>
      <c r="N33" s="182"/>
      <c r="O33" s="182"/>
    </row>
    <row r="34" spans="1:17" ht="14.45" x14ac:dyDescent="0.3">
      <c r="A34" s="181"/>
      <c r="B34" s="181"/>
      <c r="C34" s="181"/>
      <c r="D34" s="181"/>
      <c r="E34" s="181"/>
      <c r="F34" s="182"/>
      <c r="G34" s="182"/>
      <c r="H34" s="182"/>
      <c r="I34" s="182"/>
      <c r="J34" s="182"/>
      <c r="K34" s="182"/>
      <c r="L34" s="182"/>
      <c r="M34" s="182"/>
      <c r="N34" s="182"/>
      <c r="O34" s="182"/>
    </row>
    <row r="35" spans="1:17" ht="18" x14ac:dyDescent="0.35">
      <c r="A35" s="188" t="s">
        <v>73</v>
      </c>
      <c r="B35" s="181"/>
      <c r="C35" s="181"/>
      <c r="D35" s="181"/>
      <c r="E35" s="181"/>
      <c r="F35" s="182"/>
      <c r="G35" s="182"/>
      <c r="H35" s="182"/>
      <c r="I35" s="182"/>
      <c r="J35" s="182"/>
      <c r="K35" s="182"/>
      <c r="L35" s="182"/>
      <c r="M35" s="182"/>
      <c r="N35" s="182"/>
      <c r="O35" s="182"/>
    </row>
    <row r="36" spans="1:17" ht="28.9" x14ac:dyDescent="0.3">
      <c r="A36" s="189" t="s">
        <v>104</v>
      </c>
      <c r="B36" s="165" t="s">
        <v>157</v>
      </c>
      <c r="C36" s="165" t="s">
        <v>158</v>
      </c>
      <c r="D36" s="181"/>
      <c r="E36" s="181"/>
      <c r="F36" s="182"/>
      <c r="G36" s="182"/>
      <c r="H36" s="182"/>
      <c r="I36" s="182"/>
      <c r="J36" s="182"/>
      <c r="K36" s="182"/>
      <c r="L36" s="182"/>
      <c r="M36" s="182"/>
      <c r="N36" s="182"/>
      <c r="O36" s="182"/>
      <c r="P36" s="194"/>
      <c r="Q36" s="194"/>
    </row>
    <row r="37" spans="1:17" ht="14.45" x14ac:dyDescent="0.3">
      <c r="A37" s="189" t="s">
        <v>93</v>
      </c>
      <c r="B37" s="162">
        <v>350000</v>
      </c>
      <c r="C37" s="162">
        <v>250000</v>
      </c>
      <c r="D37" s="181"/>
      <c r="E37" s="181"/>
      <c r="F37" s="182"/>
      <c r="G37" s="182"/>
      <c r="H37" s="182"/>
      <c r="I37" s="182"/>
      <c r="J37" s="182"/>
      <c r="K37" s="182"/>
      <c r="L37" s="182"/>
      <c r="M37" s="182"/>
      <c r="N37" s="182"/>
      <c r="O37" s="182"/>
    </row>
    <row r="38" spans="1:17" ht="14.45" x14ac:dyDescent="0.3">
      <c r="A38" s="193" t="s">
        <v>29</v>
      </c>
      <c r="B38" s="160">
        <v>0</v>
      </c>
      <c r="C38" s="160">
        <v>0</v>
      </c>
      <c r="D38" s="181"/>
      <c r="E38" s="181"/>
      <c r="F38" s="182"/>
      <c r="G38" s="182"/>
      <c r="H38" s="182"/>
      <c r="I38" s="182"/>
      <c r="J38" s="182"/>
      <c r="K38" s="182"/>
      <c r="L38" s="182"/>
      <c r="M38" s="182"/>
      <c r="N38" s="182"/>
      <c r="O38" s="182"/>
    </row>
    <row r="39" spans="1:17" ht="14.45" x14ac:dyDescent="0.3">
      <c r="A39" s="193" t="s">
        <v>41</v>
      </c>
      <c r="B39" s="164">
        <v>0</v>
      </c>
      <c r="C39" s="164">
        <v>67</v>
      </c>
      <c r="D39" s="181"/>
      <c r="E39" s="181"/>
      <c r="F39" s="182"/>
      <c r="G39" s="182"/>
      <c r="H39" s="182"/>
      <c r="I39" s="182"/>
      <c r="J39" s="182"/>
      <c r="K39" s="182"/>
      <c r="L39" s="182"/>
      <c r="M39" s="182"/>
      <c r="N39" s="182"/>
      <c r="O39" s="182"/>
    </row>
    <row r="40" spans="1:17" ht="14.45" x14ac:dyDescent="0.3">
      <c r="A40" s="193" t="s">
        <v>42</v>
      </c>
      <c r="B40" s="164">
        <v>67</v>
      </c>
      <c r="C40" s="164">
        <v>999</v>
      </c>
      <c r="D40" s="181"/>
      <c r="E40" s="181"/>
      <c r="F40" s="182"/>
      <c r="G40" s="182"/>
      <c r="H40" s="182"/>
      <c r="I40" s="182"/>
      <c r="J40" s="182"/>
      <c r="K40" s="182"/>
      <c r="L40" s="182"/>
      <c r="M40" s="182"/>
      <c r="N40" s="182"/>
      <c r="O40" s="182"/>
    </row>
    <row r="41" spans="1:17" ht="14.45" x14ac:dyDescent="0.3">
      <c r="A41" s="193" t="s">
        <v>43</v>
      </c>
      <c r="B41" s="160">
        <v>0.6</v>
      </c>
      <c r="C41" s="160">
        <v>0</v>
      </c>
      <c r="D41" s="181"/>
      <c r="E41" s="181"/>
      <c r="F41" s="182"/>
      <c r="G41" s="182"/>
      <c r="H41" s="182"/>
      <c r="I41" s="182"/>
      <c r="J41" s="182"/>
      <c r="K41" s="182"/>
      <c r="L41" s="182"/>
      <c r="M41" s="182"/>
      <c r="N41" s="182"/>
      <c r="O41" s="182"/>
    </row>
    <row r="42" spans="1:17" ht="14.45" x14ac:dyDescent="0.3">
      <c r="A42" s="193" t="s">
        <v>37</v>
      </c>
      <c r="B42" s="164">
        <v>30</v>
      </c>
      <c r="C42" s="164">
        <v>30</v>
      </c>
      <c r="D42" s="181"/>
      <c r="E42" s="181"/>
      <c r="F42" s="182"/>
      <c r="G42" s="182"/>
      <c r="H42" s="182"/>
      <c r="I42" s="182"/>
      <c r="J42" s="182"/>
      <c r="K42" s="182"/>
      <c r="L42" s="182"/>
      <c r="M42" s="182"/>
      <c r="N42" s="182"/>
      <c r="O42" s="182"/>
    </row>
    <row r="43" spans="1:17" ht="14.45" x14ac:dyDescent="0.3">
      <c r="A43" s="193" t="s">
        <v>38</v>
      </c>
      <c r="B43" s="160">
        <v>0.04</v>
      </c>
      <c r="C43" s="160">
        <v>0.04</v>
      </c>
      <c r="D43" s="181"/>
      <c r="E43" s="181"/>
      <c r="F43" s="182"/>
      <c r="G43" s="182"/>
      <c r="H43" s="182"/>
      <c r="I43" s="182"/>
      <c r="J43" s="182"/>
      <c r="K43" s="182"/>
      <c r="L43" s="182"/>
      <c r="M43" s="182"/>
      <c r="N43" s="182"/>
      <c r="O43" s="182"/>
    </row>
    <row r="44" spans="1:17" ht="14.45" x14ac:dyDescent="0.3">
      <c r="A44" s="193" t="s">
        <v>85</v>
      </c>
      <c r="B44" s="160">
        <v>1.4999999999999999E-2</v>
      </c>
      <c r="C44" s="160">
        <v>1.4999999999999999E-2</v>
      </c>
      <c r="D44" s="195"/>
      <c r="E44" s="181"/>
      <c r="F44" s="182"/>
      <c r="G44" s="182"/>
      <c r="H44" s="182"/>
      <c r="I44" s="182"/>
      <c r="J44" s="182"/>
      <c r="K44" s="182"/>
      <c r="L44" s="182"/>
      <c r="M44" s="182"/>
      <c r="N44" s="182"/>
      <c r="O44" s="182"/>
    </row>
    <row r="45" spans="1:17" ht="14.45" x14ac:dyDescent="0.3">
      <c r="A45" s="193" t="s">
        <v>39</v>
      </c>
      <c r="B45" s="160">
        <v>2E-3</v>
      </c>
      <c r="C45" s="160">
        <v>2E-3</v>
      </c>
      <c r="D45" s="181"/>
      <c r="E45" s="181"/>
      <c r="F45" s="182"/>
      <c r="G45" s="182"/>
      <c r="H45" s="182"/>
      <c r="I45" s="182"/>
      <c r="J45" s="182"/>
      <c r="K45" s="182"/>
      <c r="L45" s="182"/>
      <c r="M45" s="182"/>
      <c r="N45" s="182"/>
      <c r="O45" s="182"/>
    </row>
    <row r="46" spans="1:17" ht="14.45" x14ac:dyDescent="0.3">
      <c r="A46" s="193" t="s">
        <v>94</v>
      </c>
      <c r="B46" s="162">
        <v>5250</v>
      </c>
      <c r="C46" s="162">
        <v>3750</v>
      </c>
      <c r="D46" s="181"/>
      <c r="E46" s="181"/>
      <c r="F46" s="182"/>
      <c r="G46" s="182"/>
      <c r="H46" s="182"/>
      <c r="I46" s="182"/>
      <c r="J46" s="182"/>
      <c r="K46" s="182"/>
      <c r="L46" s="182"/>
      <c r="M46" s="182"/>
      <c r="N46" s="182"/>
      <c r="O46" s="182"/>
    </row>
    <row r="47" spans="1:17" ht="14.45" x14ac:dyDescent="0.3">
      <c r="A47" s="193" t="s">
        <v>9</v>
      </c>
      <c r="B47" s="162">
        <v>3500</v>
      </c>
      <c r="C47" s="162">
        <v>2500</v>
      </c>
      <c r="D47" s="181"/>
      <c r="E47" s="181"/>
      <c r="F47" s="182"/>
      <c r="G47" s="182"/>
      <c r="H47" s="182"/>
      <c r="I47" s="182"/>
      <c r="J47" s="182"/>
      <c r="K47" s="182"/>
      <c r="L47" s="182"/>
      <c r="M47" s="182"/>
      <c r="N47" s="182"/>
      <c r="O47" s="182"/>
    </row>
    <row r="48" spans="1:17" ht="14.45" x14ac:dyDescent="0.3">
      <c r="A48" s="181"/>
      <c r="B48" s="181"/>
      <c r="C48" s="181"/>
      <c r="D48" s="181"/>
      <c r="E48" s="181"/>
      <c r="F48" s="182"/>
      <c r="G48" s="182"/>
      <c r="H48" s="182"/>
      <c r="I48" s="182"/>
      <c r="J48" s="182"/>
      <c r="K48" s="182"/>
      <c r="L48" s="182"/>
      <c r="M48" s="182"/>
      <c r="N48" s="182"/>
      <c r="O48" s="182"/>
    </row>
    <row r="49" spans="1:29" ht="14.45" x14ac:dyDescent="0.3">
      <c r="A49" s="181"/>
      <c r="B49" s="181"/>
      <c r="C49" s="181"/>
      <c r="D49" s="181"/>
      <c r="E49" s="181"/>
      <c r="F49" s="182"/>
      <c r="G49" s="182"/>
      <c r="H49" s="182"/>
      <c r="I49" s="182"/>
      <c r="J49" s="182"/>
      <c r="K49" s="182"/>
      <c r="L49" s="182"/>
      <c r="M49" s="182"/>
      <c r="N49" s="182"/>
      <c r="O49" s="182"/>
    </row>
    <row r="50" spans="1:29" ht="18" x14ac:dyDescent="0.35">
      <c r="A50" s="188" t="s">
        <v>70</v>
      </c>
      <c r="B50" s="196" t="s">
        <v>86</v>
      </c>
      <c r="C50" s="196" t="s">
        <v>89</v>
      </c>
      <c r="D50" s="196" t="s">
        <v>88</v>
      </c>
      <c r="E50" s="196" t="s">
        <v>87</v>
      </c>
      <c r="F50" s="182"/>
      <c r="G50" s="182"/>
      <c r="H50" s="182"/>
      <c r="I50" s="182"/>
      <c r="J50" s="182"/>
      <c r="K50" s="182"/>
      <c r="L50" s="182"/>
      <c r="M50" s="182"/>
      <c r="N50" s="182"/>
      <c r="O50" s="182"/>
    </row>
    <row r="51" spans="1:29" ht="14.45" x14ac:dyDescent="0.3">
      <c r="A51" s="191" t="s">
        <v>104</v>
      </c>
      <c r="B51" s="163" t="s">
        <v>15</v>
      </c>
      <c r="C51" s="163" t="s">
        <v>14</v>
      </c>
      <c r="D51" s="163" t="s">
        <v>95</v>
      </c>
      <c r="E51" s="163" t="s">
        <v>96</v>
      </c>
      <c r="F51" s="182"/>
      <c r="G51" s="182"/>
      <c r="H51" s="182"/>
      <c r="I51" s="182"/>
      <c r="J51" s="182"/>
      <c r="K51" s="182"/>
      <c r="L51" s="182"/>
      <c r="M51" s="182"/>
      <c r="N51" s="182"/>
      <c r="O51" s="182"/>
    </row>
    <row r="52" spans="1:29" ht="14.45" x14ac:dyDescent="0.3">
      <c r="A52" s="191" t="s">
        <v>19</v>
      </c>
      <c r="B52" s="161">
        <v>60000</v>
      </c>
      <c r="C52" s="161">
        <v>40000</v>
      </c>
      <c r="D52" s="161">
        <v>60000</v>
      </c>
      <c r="E52" s="161">
        <v>40000</v>
      </c>
      <c r="F52" s="182"/>
      <c r="G52" s="182"/>
      <c r="H52" s="182"/>
      <c r="I52" s="182"/>
      <c r="J52" s="182"/>
      <c r="K52" s="182"/>
      <c r="L52" s="182"/>
      <c r="M52" s="182"/>
      <c r="N52" s="182"/>
      <c r="O52" s="182"/>
    </row>
    <row r="53" spans="1:29" x14ac:dyDescent="0.25">
      <c r="A53" s="191" t="s">
        <v>17</v>
      </c>
      <c r="B53" s="160">
        <v>0.06</v>
      </c>
      <c r="C53" s="160">
        <v>3.5000000000000003E-2</v>
      </c>
      <c r="D53" s="160">
        <v>0.06</v>
      </c>
      <c r="E53" s="160">
        <v>3.5000000000000003E-2</v>
      </c>
      <c r="F53" s="182"/>
      <c r="G53" s="231" t="s">
        <v>244</v>
      </c>
      <c r="H53" s="232" t="s">
        <v>63</v>
      </c>
      <c r="I53" s="233" t="s">
        <v>64</v>
      </c>
      <c r="J53" s="182"/>
      <c r="K53" s="182"/>
      <c r="L53" s="182"/>
      <c r="M53" s="182"/>
      <c r="N53" s="182"/>
      <c r="O53" s="182"/>
    </row>
    <row r="54" spans="1:29" x14ac:dyDescent="0.25">
      <c r="A54" s="191" t="s">
        <v>16</v>
      </c>
      <c r="B54" s="160">
        <v>0.02</v>
      </c>
      <c r="C54" s="160">
        <v>3.5000000000000003E-2</v>
      </c>
      <c r="D54" s="160">
        <v>0.02</v>
      </c>
      <c r="E54" s="160">
        <v>3.5000000000000003E-2</v>
      </c>
      <c r="F54" s="182"/>
      <c r="G54" s="210">
        <f>+MAX(50,age)</f>
        <v>50</v>
      </c>
      <c r="H54" s="224" t="str">
        <f t="shared" ref="H54:H59" ca="1" si="0">+IF($G54&gt;age,INDEX($L$62:$L$163,MATCH($G54,$B$62:$B$163,0)),"NA")</f>
        <v>EXPIRED</v>
      </c>
      <c r="I54" s="225" t="str">
        <f t="shared" ref="I54:I59" ca="1" si="1">+IF($G54&gt;age,INDEX($N$62:$N$163,MATCH($G54,$B$62:$B$163,0)),"NA")</f>
        <v>EXPIRED</v>
      </c>
      <c r="J54" s="202"/>
      <c r="K54" s="182"/>
      <c r="L54" s="182"/>
      <c r="M54" s="182"/>
      <c r="N54" s="182"/>
      <c r="O54" s="182"/>
    </row>
    <row r="55" spans="1:29" x14ac:dyDescent="0.25">
      <c r="A55" s="191" t="s">
        <v>76</v>
      </c>
      <c r="B55" s="160">
        <v>0.6</v>
      </c>
      <c r="C55" s="160">
        <v>0.4</v>
      </c>
      <c r="D55" s="160">
        <v>0.6</v>
      </c>
      <c r="E55" s="160">
        <v>0.4</v>
      </c>
      <c r="F55" s="182"/>
      <c r="G55" s="210">
        <f>+G54+10</f>
        <v>60</v>
      </c>
      <c r="H55" s="226" t="str">
        <f t="shared" ca="1" si="0"/>
        <v>EXPIRED</v>
      </c>
      <c r="I55" s="227" t="str">
        <f t="shared" ca="1" si="1"/>
        <v>EXPIRED</v>
      </c>
      <c r="J55" s="182"/>
      <c r="K55" s="182"/>
      <c r="L55" s="182"/>
      <c r="M55" s="182"/>
      <c r="N55" s="182"/>
      <c r="O55" s="182"/>
    </row>
    <row r="56" spans="1:29" x14ac:dyDescent="0.25">
      <c r="A56" s="191" t="s">
        <v>24</v>
      </c>
      <c r="B56" s="160" t="b">
        <v>0</v>
      </c>
      <c r="C56" s="160" t="b">
        <v>0</v>
      </c>
      <c r="D56" s="160" t="b">
        <v>1</v>
      </c>
      <c r="E56" s="160" t="b">
        <v>1</v>
      </c>
      <c r="F56" s="192"/>
      <c r="G56" s="210">
        <f t="shared" ref="G56:G58" si="2">+G55+10</f>
        <v>70</v>
      </c>
      <c r="H56" s="226" t="str">
        <f t="shared" ca="1" si="0"/>
        <v>EXPIRED</v>
      </c>
      <c r="I56" s="227" t="str">
        <f t="shared" ca="1" si="1"/>
        <v>EXPIRED</v>
      </c>
      <c r="J56" s="182"/>
      <c r="K56" s="182"/>
      <c r="L56" s="182"/>
      <c r="M56" s="182"/>
      <c r="N56" s="182"/>
      <c r="O56" s="182"/>
    </row>
    <row r="57" spans="1:29" x14ac:dyDescent="0.25">
      <c r="A57" s="197"/>
      <c r="B57" s="197"/>
      <c r="C57" s="197"/>
      <c r="D57" s="197"/>
      <c r="E57" s="197"/>
      <c r="F57" s="182"/>
      <c r="G57" s="210">
        <f t="shared" si="2"/>
        <v>80</v>
      </c>
      <c r="H57" s="226" t="str">
        <f t="shared" ca="1" si="0"/>
        <v>EXPIRED</v>
      </c>
      <c r="I57" s="227" t="str">
        <f t="shared" ca="1" si="1"/>
        <v>EXPIRED</v>
      </c>
      <c r="J57" s="182"/>
      <c r="K57" s="182"/>
      <c r="L57" s="182"/>
      <c r="M57" s="182"/>
      <c r="N57" s="182"/>
      <c r="O57" s="182"/>
    </row>
    <row r="58" spans="1:29" ht="18.75" x14ac:dyDescent="0.3">
      <c r="A58" s="198" t="s">
        <v>238</v>
      </c>
      <c r="B58" s="199">
        <f>+SUMIFS(Investments!$6:$6,Investments!$7:$7,FALSE)</f>
        <v>1</v>
      </c>
      <c r="C58" s="200" t="str">
        <f>+IF(B58&lt;&gt;1,"   REBALANCE ERROR:  Targets for Tax and Tax Deferred must EACH sum to 100%","")</f>
        <v/>
      </c>
      <c r="D58" s="181"/>
      <c r="E58" s="181"/>
      <c r="F58" s="182"/>
      <c r="G58" s="210">
        <f t="shared" si="2"/>
        <v>90</v>
      </c>
      <c r="H58" s="226" t="str">
        <f t="shared" ca="1" si="0"/>
        <v>EXPIRED</v>
      </c>
      <c r="I58" s="227" t="str">
        <f t="shared" ca="1" si="1"/>
        <v>EXPIRED</v>
      </c>
      <c r="J58" s="182"/>
      <c r="K58" s="182"/>
      <c r="L58" s="182"/>
      <c r="M58" s="182"/>
      <c r="N58" s="182"/>
      <c r="O58" s="182"/>
    </row>
    <row r="59" spans="1:29" ht="18.75" x14ac:dyDescent="0.3">
      <c r="A59" s="198" t="s">
        <v>237</v>
      </c>
      <c r="B59" s="199">
        <f>+SUMIFS(Investments!$6:$6,Investments!$7:$7,TRUE)</f>
        <v>1</v>
      </c>
      <c r="C59" s="200" t="str">
        <f>+IF(B59&lt;&gt;1,"   REBALANCE ERROR:  Targets for Tax and Tax Deferred must EACH sum to 100%","")</f>
        <v/>
      </c>
      <c r="D59" s="201"/>
      <c r="E59" s="201"/>
      <c r="F59" s="202"/>
      <c r="G59" s="230">
        <v>100</v>
      </c>
      <c r="H59" s="228" t="str">
        <f t="shared" ca="1" si="0"/>
        <v>EXPIRED</v>
      </c>
      <c r="I59" s="229" t="str">
        <f t="shared" ca="1" si="1"/>
        <v>EXPIRED</v>
      </c>
      <c r="J59" s="202"/>
      <c r="K59" s="182"/>
      <c r="L59" s="202"/>
      <c r="M59" s="182"/>
      <c r="N59" s="182"/>
      <c r="O59" s="182"/>
    </row>
    <row r="60" spans="1:29" ht="18.75" x14ac:dyDescent="0.3">
      <c r="A60" s="198"/>
      <c r="B60" s="199"/>
      <c r="C60" s="200"/>
      <c r="D60" s="201"/>
      <c r="E60" s="201"/>
      <c r="F60" s="202"/>
      <c r="G60" s="202"/>
      <c r="H60" s="202"/>
      <c r="I60" s="202"/>
      <c r="J60" s="202"/>
      <c r="K60" s="202"/>
      <c r="L60" s="202"/>
      <c r="M60" s="182"/>
      <c r="N60" s="182"/>
      <c r="O60" s="182"/>
    </row>
    <row r="61" spans="1:29" ht="28.5" x14ac:dyDescent="0.45">
      <c r="A61" s="203" t="s">
        <v>103</v>
      </c>
      <c r="B61" s="204"/>
      <c r="C61" s="240" t="s">
        <v>138</v>
      </c>
      <c r="D61" s="241"/>
      <c r="E61" s="241"/>
      <c r="F61" s="242"/>
      <c r="G61" s="243" t="s">
        <v>6</v>
      </c>
      <c r="H61" s="241"/>
      <c r="I61" s="241"/>
      <c r="J61" s="241"/>
      <c r="K61" s="242"/>
      <c r="L61" s="240" t="s">
        <v>241</v>
      </c>
      <c r="M61" s="241"/>
      <c r="N61" s="241"/>
      <c r="O61" s="242"/>
    </row>
    <row r="62" spans="1:29" ht="34.15" customHeight="1" x14ac:dyDescent="0.25">
      <c r="A62" s="205" t="s">
        <v>5</v>
      </c>
      <c r="B62" s="206" t="s">
        <v>4</v>
      </c>
      <c r="C62" s="207" t="s">
        <v>72</v>
      </c>
      <c r="D62" s="208" t="s">
        <v>233</v>
      </c>
      <c r="E62" s="208" t="s">
        <v>57</v>
      </c>
      <c r="F62" s="208" t="s">
        <v>1</v>
      </c>
      <c r="G62" s="207" t="s">
        <v>102</v>
      </c>
      <c r="H62" s="208" t="s">
        <v>228</v>
      </c>
      <c r="I62" s="208" t="s">
        <v>83</v>
      </c>
      <c r="J62" s="208" t="s">
        <v>58</v>
      </c>
      <c r="K62" s="208" t="s">
        <v>66</v>
      </c>
      <c r="L62" s="207" t="s">
        <v>63</v>
      </c>
      <c r="M62" s="208" t="s">
        <v>129</v>
      </c>
      <c r="N62" s="208" t="s">
        <v>64</v>
      </c>
      <c r="O62" s="209" t="s">
        <v>245</v>
      </c>
    </row>
    <row r="63" spans="1:29" x14ac:dyDescent="0.25">
      <c r="A63" s="210">
        <v>0</v>
      </c>
      <c r="B63" s="211">
        <f>+age+0</f>
        <v>40</v>
      </c>
      <c r="C63" s="221"/>
      <c r="D63" s="222"/>
      <c r="E63" s="222"/>
      <c r="F63" s="222"/>
      <c r="G63" s="221"/>
      <c r="H63" s="222"/>
      <c r="I63" s="222"/>
      <c r="J63" s="222"/>
      <c r="K63" s="222"/>
      <c r="L63" s="217">
        <f ca="1">+Investments!E11</f>
        <v>190394.01544401544</v>
      </c>
      <c r="M63" s="218">
        <f>+RealEstate!E5</f>
        <v>140000</v>
      </c>
      <c r="N63" s="218">
        <f t="shared" ref="N63:N68" ca="1" si="3">+L63+M63</f>
        <v>330394.01544401544</v>
      </c>
      <c r="O63" s="223"/>
      <c r="Y63" s="212"/>
      <c r="Z63" s="212"/>
      <c r="AA63" s="212"/>
      <c r="AB63" s="212"/>
      <c r="AC63" s="213"/>
    </row>
    <row r="64" spans="1:29" x14ac:dyDescent="0.25">
      <c r="A64" s="210">
        <f t="shared" ref="A64:A95" si="4">+A63+1</f>
        <v>1</v>
      </c>
      <c r="B64" s="211">
        <f>+age+1</f>
        <v>41</v>
      </c>
      <c r="C64" s="217">
        <f>+SUM(Income!D11:J11)</f>
        <v>112455</v>
      </c>
      <c r="D64" s="218">
        <f>+Investments!P12</f>
        <v>2800</v>
      </c>
      <c r="E64" s="218">
        <f ca="1">+Income!O11</f>
        <v>92658.122499999998</v>
      </c>
      <c r="F64" s="219">
        <f ca="1">+Income!P11</f>
        <v>0.19605984555984554</v>
      </c>
      <c r="G64" s="217">
        <f>-Expenses!E8</f>
        <v>-61200</v>
      </c>
      <c r="H64" s="218">
        <f>RealEstate!K6</f>
        <v>-27138.320818068874</v>
      </c>
      <c r="I64" s="218">
        <f>+SUM(G64:H64)</f>
        <v>-88338.320818068867</v>
      </c>
      <c r="J64" s="218">
        <f ca="1">E64+I64</f>
        <v>4319.8016819311306</v>
      </c>
      <c r="K64" s="218">
        <f>-RealEstate!F6</f>
        <v>0</v>
      </c>
      <c r="L64" s="217">
        <f ca="1">+Investments!E12</f>
        <v>194713.81712594657</v>
      </c>
      <c r="M64" s="218">
        <f>+RealEstate!E6</f>
        <v>150744.32081806887</v>
      </c>
      <c r="N64" s="218">
        <f t="shared" ca="1" si="3"/>
        <v>345458.13794401544</v>
      </c>
      <c r="O64" s="220">
        <f ca="1">+N64-N63</f>
        <v>15064.122499999998</v>
      </c>
      <c r="P64" s="213"/>
      <c r="Q64" s="212"/>
      <c r="R64" s="212"/>
      <c r="S64" s="212"/>
      <c r="T64" s="212"/>
      <c r="U64" s="212"/>
      <c r="V64" s="212"/>
      <c r="W64" s="212"/>
      <c r="Y64" s="212"/>
      <c r="Z64" s="212"/>
      <c r="AA64" s="212"/>
      <c r="AB64" s="212"/>
      <c r="AC64" s="213"/>
    </row>
    <row r="65" spans="1:30" x14ac:dyDescent="0.25">
      <c r="A65" s="210">
        <f t="shared" si="4"/>
        <v>2</v>
      </c>
      <c r="B65" s="211">
        <f t="shared" ref="B65:B96" si="5">+B64+1</f>
        <v>42</v>
      </c>
      <c r="C65" s="217">
        <f>+SUM(Income!D12:J12)</f>
        <v>120439.30500000001</v>
      </c>
      <c r="D65" s="218">
        <f ca="1">+Investments!P13</f>
        <v>2819.3148437302093</v>
      </c>
      <c r="E65" s="218">
        <f ca="1">+Income!O12</f>
        <v>100959.82033133645</v>
      </c>
      <c r="F65" s="219">
        <f ca="1">+Income!P12</f>
        <v>0.19323794491082674</v>
      </c>
      <c r="G65" s="217">
        <f>-Expenses!E9</f>
        <v>-62424</v>
      </c>
      <c r="H65" s="218">
        <f>RealEstate!K7</f>
        <v>-27438.200818068872</v>
      </c>
      <c r="I65" s="218">
        <f>+SUM(G65:H65)</f>
        <v>-89862.200818068872</v>
      </c>
      <c r="J65" s="218">
        <f ca="1">E65+I65</f>
        <v>11097.619513267578</v>
      </c>
      <c r="K65" s="218">
        <f>-RealEstate!F7</f>
        <v>0</v>
      </c>
      <c r="L65" s="217">
        <f ca="1">+Investments!E13</f>
        <v>201849.63116190376</v>
      </c>
      <c r="M65" s="218">
        <f>+RealEstate!E7</f>
        <v>161778.41446886049</v>
      </c>
      <c r="N65" s="218">
        <f t="shared" ca="1" si="3"/>
        <v>363628.04563076422</v>
      </c>
      <c r="O65" s="220">
        <f ca="1">+N65-N64</f>
        <v>18169.907686748775</v>
      </c>
      <c r="P65" s="213"/>
      <c r="Q65" s="212"/>
      <c r="R65" s="212"/>
      <c r="S65" s="212"/>
      <c r="T65" s="212"/>
      <c r="U65" s="212"/>
      <c r="V65" s="212"/>
      <c r="W65" s="212"/>
      <c r="Y65" s="212"/>
      <c r="Z65" s="212"/>
      <c r="AA65" s="212"/>
      <c r="AB65" s="212"/>
      <c r="AC65" s="213"/>
      <c r="AD65" s="213"/>
    </row>
    <row r="66" spans="1:30" x14ac:dyDescent="0.25">
      <c r="A66" s="210">
        <f t="shared" si="4"/>
        <v>3</v>
      </c>
      <c r="B66" s="211">
        <f t="shared" si="5"/>
        <v>43</v>
      </c>
      <c r="C66" s="217">
        <f>+SUM(Income!D13:J13)</f>
        <v>128990.49565500001</v>
      </c>
      <c r="D66" s="218">
        <f ca="1">+Investments!P14</f>
        <v>2829.5148437302096</v>
      </c>
      <c r="E66" s="218">
        <f ca="1">+Income!O13</f>
        <v>108427.07060524712</v>
      </c>
      <c r="F66" s="219">
        <f ca="1">+Income!P13</f>
        <v>0.19563556057793352</v>
      </c>
      <c r="G66" s="217">
        <f>-Expenses!E10</f>
        <v>-63672.479999999996</v>
      </c>
      <c r="H66" s="218">
        <f>RealEstate!K8</f>
        <v>-27744.078418068872</v>
      </c>
      <c r="I66" s="218">
        <f>+SUM(G66:H66)</f>
        <v>-91416.55841806886</v>
      </c>
      <c r="J66" s="218">
        <f ca="1">E66+I66</f>
        <v>17010.512187178261</v>
      </c>
      <c r="K66" s="218">
        <f>-RealEstate!F8</f>
        <v>0</v>
      </c>
      <c r="L66" s="217">
        <f ca="1">+Investments!E14</f>
        <v>211961.41736945507</v>
      </c>
      <c r="M66" s="218">
        <f>+RealEstate!E8</f>
        <v>173111.07186568377</v>
      </c>
      <c r="N66" s="218">
        <f t="shared" ca="1" si="3"/>
        <v>385072.48923513887</v>
      </c>
      <c r="O66" s="220">
        <f ca="1">+N66-N65</f>
        <v>21444.443604374654</v>
      </c>
      <c r="P66" s="213"/>
      <c r="Q66" s="212"/>
      <c r="R66" s="212"/>
      <c r="S66" s="212"/>
      <c r="T66" s="212"/>
      <c r="U66" s="212"/>
      <c r="V66" s="212"/>
      <c r="W66" s="212"/>
      <c r="Y66" s="212"/>
      <c r="Z66" s="212"/>
      <c r="AA66" s="212"/>
      <c r="AB66" s="212"/>
      <c r="AC66" s="213"/>
      <c r="AD66" s="213"/>
    </row>
    <row r="67" spans="1:30" x14ac:dyDescent="0.25">
      <c r="A67" s="210">
        <f t="shared" si="4"/>
        <v>4</v>
      </c>
      <c r="B67" s="211">
        <f t="shared" si="5"/>
        <v>44</v>
      </c>
      <c r="C67" s="217">
        <f>+SUM(Income!D14:J14)</f>
        <v>138148.820846505</v>
      </c>
      <c r="D67" s="218">
        <f ca="1">+Investments!P15</f>
        <v>2839.9188437302091</v>
      </c>
      <c r="E67" s="218">
        <f ca="1">+Income!O14</f>
        <v>116416.49776692843</v>
      </c>
      <c r="F67" s="219">
        <f ca="1">+Income!P14</f>
        <v>0.1981332386012257</v>
      </c>
      <c r="G67" s="217">
        <f>-Expenses!E11</f>
        <v>-64945.929599999996</v>
      </c>
      <c r="H67" s="218">
        <f>RealEstate!K9</f>
        <v>-28056.073570068875</v>
      </c>
      <c r="I67" s="218">
        <f>+SUM(G67:H67)</f>
        <v>-93002.003170068871</v>
      </c>
      <c r="J67" s="218">
        <f ca="1">E67+I67</f>
        <v>23414.494596859557</v>
      </c>
      <c r="K67" s="218">
        <f>-RealEstate!F9</f>
        <v>0</v>
      </c>
      <c r="L67" s="217">
        <f ca="1">+Investments!E15</f>
        <v>225799.6768055599</v>
      </c>
      <c r="M67" s="218">
        <f>+RealEstate!E9</f>
        <v>184751.37955837999</v>
      </c>
      <c r="N67" s="218">
        <f t="shared" ca="1" si="3"/>
        <v>410551.05636393989</v>
      </c>
      <c r="O67" s="220">
        <f ca="1">+N67-N66</f>
        <v>25478.56712880102</v>
      </c>
      <c r="P67" s="213"/>
      <c r="Q67" s="212"/>
      <c r="R67" s="212"/>
      <c r="S67" s="212"/>
      <c r="T67" s="212"/>
      <c r="U67" s="212"/>
      <c r="V67" s="212"/>
      <c r="W67" s="212"/>
      <c r="Y67" s="212"/>
      <c r="Z67" s="212"/>
      <c r="AA67" s="212"/>
      <c r="AB67" s="212"/>
      <c r="AC67" s="213"/>
      <c r="AD67" s="213"/>
    </row>
    <row r="68" spans="1:30" x14ac:dyDescent="0.25">
      <c r="A68" s="210">
        <f t="shared" si="4"/>
        <v>5</v>
      </c>
      <c r="B68" s="211">
        <f t="shared" si="5"/>
        <v>45</v>
      </c>
      <c r="C68" s="217">
        <f>+SUM(Income!D15:J15)</f>
        <v>147957.38712660686</v>
      </c>
      <c r="D68" s="218">
        <f ca="1">+Investments!P16</f>
        <v>2850.5309237302095</v>
      </c>
      <c r="E68" s="218">
        <f ca="1">+Income!O15</f>
        <v>123442.26799243287</v>
      </c>
      <c r="F68" s="219">
        <f ca="1">+Income!P15</f>
        <v>0.20553635634699471</v>
      </c>
      <c r="G68" s="217">
        <f>-Expenses!E12</f>
        <v>-66244.848192000005</v>
      </c>
      <c r="H68" s="218">
        <f ca="1">RealEstate!K10</f>
        <v>-28374.308625108875</v>
      </c>
      <c r="I68" s="218">
        <f ca="1">+SUM(G68:H68)</f>
        <v>-94619.156817108887</v>
      </c>
      <c r="J68" s="218">
        <f ca="1">E68+I68</f>
        <v>28823.111175323982</v>
      </c>
      <c r="K68" s="218">
        <f ca="1">-RealEstate!F10</f>
        <v>0</v>
      </c>
      <c r="L68" s="217">
        <f ca="1">+Investments!E16</f>
        <v>243786.58282098983</v>
      </c>
      <c r="M68" s="218">
        <f ca="1">+RealEstate!E10</f>
        <v>196708.73043878408</v>
      </c>
      <c r="N68" s="218">
        <f t="shared" ca="1" si="3"/>
        <v>440495.31325977389</v>
      </c>
      <c r="O68" s="220">
        <f ca="1">+N68-N67</f>
        <v>29944.256895833998</v>
      </c>
      <c r="P68" s="213"/>
      <c r="Q68" s="212"/>
      <c r="R68" s="212"/>
      <c r="S68" s="212"/>
      <c r="T68" s="212"/>
      <c r="U68" s="212"/>
      <c r="V68" s="212"/>
      <c r="W68" s="212"/>
      <c r="Y68" s="212"/>
      <c r="Z68" s="212"/>
      <c r="AA68" s="212"/>
      <c r="AB68" s="212"/>
      <c r="AC68" s="213"/>
      <c r="AD68" s="213"/>
    </row>
    <row r="69" spans="1:30" x14ac:dyDescent="0.25">
      <c r="A69" s="210">
        <f t="shared" si="4"/>
        <v>6</v>
      </c>
      <c r="B69" s="211">
        <f t="shared" si="5"/>
        <v>46</v>
      </c>
      <c r="C69" s="217" t="str">
        <f ca="1">IF(Message&lt;&gt;"",Message,SUM(Income!D16:J16))</f>
        <v>EXPIRED</v>
      </c>
      <c r="D69" s="218" t="str">
        <f ca="1">IF(Message&lt;&gt;"","--",+Investments!P17)</f>
        <v>--</v>
      </c>
      <c r="E69" s="218" t="str">
        <f ca="1">+Income!O16</f>
        <v>--</v>
      </c>
      <c r="F69" s="219" t="str">
        <f ca="1">+Income!P16</f>
        <v>EXPIRED</v>
      </c>
      <c r="G69" s="217" t="str">
        <f ca="1">IF(Message&lt;&gt;"","--",-Expenses!E13)</f>
        <v>--</v>
      </c>
      <c r="H69" s="218" t="str">
        <f ca="1">IF(Message&lt;&gt;"",Message,RealEstate!K11)</f>
        <v>EXPIRED</v>
      </c>
      <c r="I69" s="218" t="str">
        <f t="shared" ref="I69:I100" ca="1" si="6">IF(Message&lt;&gt;"","--",+SUM(G69:H69))</f>
        <v>--</v>
      </c>
      <c r="J69" s="218" t="str">
        <f t="shared" ref="J69:J100" ca="1" si="7">IF(Message&lt;&gt;"",Message,E69+I69)</f>
        <v>EXPIRED</v>
      </c>
      <c r="K69" s="218" t="str">
        <f ca="1">IF(Message&lt;&gt;"","--",-RealEstate!F11)</f>
        <v>--</v>
      </c>
      <c r="L69" s="217" t="str">
        <f ca="1">IF(Message&lt;&gt;"",Message,+Investments!E17)</f>
        <v>EXPIRED</v>
      </c>
      <c r="M69" s="218" t="str">
        <f ca="1">IF(Message&lt;&gt;"","--",+RealEstate!E11)</f>
        <v>--</v>
      </c>
      <c r="N69" s="218" t="str">
        <f t="shared" ref="N69:N100" ca="1" si="8">IF(Message&lt;&gt;"",Message,+L69+M69)</f>
        <v>EXPIRED</v>
      </c>
      <c r="O69" s="220" t="str">
        <f t="shared" ref="O69:O100" ca="1" si="9">IF(Message&lt;&gt;"","--",+N69-N68)</f>
        <v>--</v>
      </c>
      <c r="P69" s="213"/>
      <c r="Q69" s="212"/>
      <c r="R69" s="212"/>
      <c r="S69" s="212"/>
      <c r="T69" s="212"/>
      <c r="U69" s="212"/>
      <c r="V69" s="212"/>
      <c r="W69" s="212"/>
      <c r="Y69" s="212"/>
      <c r="Z69" s="212"/>
      <c r="AA69" s="212"/>
      <c r="AB69" s="212"/>
      <c r="AC69" s="213"/>
      <c r="AD69" s="213"/>
    </row>
    <row r="70" spans="1:30" x14ac:dyDescent="0.25">
      <c r="A70" s="210">
        <f t="shared" si="4"/>
        <v>7</v>
      </c>
      <c r="B70" s="211">
        <f t="shared" si="5"/>
        <v>47</v>
      </c>
      <c r="C70" s="217" t="str">
        <f ca="1">IF(Message&lt;&gt;"",Message,SUM(Income!D17:J17))</f>
        <v>EXPIRED</v>
      </c>
      <c r="D70" s="218" t="str">
        <f ca="1">IF(Message&lt;&gt;"","--",+Investments!P18)</f>
        <v>--</v>
      </c>
      <c r="E70" s="218" t="str">
        <f ca="1">+Income!O17</f>
        <v>--</v>
      </c>
      <c r="F70" s="219" t="str">
        <f ca="1">+Income!P17</f>
        <v>EXPIRED</v>
      </c>
      <c r="G70" s="217" t="str">
        <f ca="1">IF(Message&lt;&gt;"","--",-Expenses!E14)</f>
        <v>--</v>
      </c>
      <c r="H70" s="218" t="str">
        <f ca="1">IF(Message&lt;&gt;"",Message,RealEstate!K12)</f>
        <v>EXPIRED</v>
      </c>
      <c r="I70" s="218" t="str">
        <f t="shared" ca="1" si="6"/>
        <v>--</v>
      </c>
      <c r="J70" s="218" t="str">
        <f t="shared" ca="1" si="7"/>
        <v>EXPIRED</v>
      </c>
      <c r="K70" s="218" t="str">
        <f ca="1">IF(Message&lt;&gt;"","--",-RealEstate!F12)</f>
        <v>--</v>
      </c>
      <c r="L70" s="217" t="str">
        <f ca="1">IF(Message&lt;&gt;"",Message,+Investments!E18)</f>
        <v>EXPIRED</v>
      </c>
      <c r="M70" s="218" t="str">
        <f ca="1">IF(Message&lt;&gt;"","--",+RealEstate!E12)</f>
        <v>--</v>
      </c>
      <c r="N70" s="218" t="str">
        <f t="shared" ca="1" si="8"/>
        <v>EXPIRED</v>
      </c>
      <c r="O70" s="220" t="str">
        <f t="shared" ca="1" si="9"/>
        <v>--</v>
      </c>
      <c r="P70" s="213"/>
      <c r="Q70" s="212"/>
      <c r="R70" s="212"/>
      <c r="S70" s="212"/>
      <c r="T70" s="212"/>
      <c r="U70" s="212"/>
      <c r="V70" s="212"/>
      <c r="W70" s="212"/>
      <c r="Y70" s="212"/>
      <c r="Z70" s="212"/>
      <c r="AA70" s="212"/>
      <c r="AB70" s="212"/>
      <c r="AC70" s="213"/>
      <c r="AD70" s="213"/>
    </row>
    <row r="71" spans="1:30" x14ac:dyDescent="0.25">
      <c r="A71" s="210">
        <f t="shared" si="4"/>
        <v>8</v>
      </c>
      <c r="B71" s="211">
        <f t="shared" si="5"/>
        <v>48</v>
      </c>
      <c r="C71" s="217" t="str">
        <f ca="1">IF(Message&lt;&gt;"",Message,SUM(Income!D18:J18))</f>
        <v>EXPIRED</v>
      </c>
      <c r="D71" s="218" t="str">
        <f ca="1">IF(Message&lt;&gt;"","--",+Investments!P19)</f>
        <v>--</v>
      </c>
      <c r="E71" s="218" t="str">
        <f ca="1">+Income!O18</f>
        <v>--</v>
      </c>
      <c r="F71" s="219" t="str">
        <f ca="1">+Income!P18</f>
        <v>EXPIRED</v>
      </c>
      <c r="G71" s="217" t="str">
        <f ca="1">IF(Message&lt;&gt;"","--",-Expenses!E15)</f>
        <v>--</v>
      </c>
      <c r="H71" s="218" t="str">
        <f ca="1">IF(Message&lt;&gt;"",Message,RealEstate!K13)</f>
        <v>EXPIRED</v>
      </c>
      <c r="I71" s="218" t="str">
        <f t="shared" ca="1" si="6"/>
        <v>--</v>
      </c>
      <c r="J71" s="218" t="str">
        <f t="shared" ca="1" si="7"/>
        <v>EXPIRED</v>
      </c>
      <c r="K71" s="218" t="str">
        <f ca="1">IF(Message&lt;&gt;"","--",-RealEstate!F13)</f>
        <v>--</v>
      </c>
      <c r="L71" s="217" t="str">
        <f ca="1">IF(Message&lt;&gt;"",Message,+Investments!E19)</f>
        <v>EXPIRED</v>
      </c>
      <c r="M71" s="218" t="str">
        <f ca="1">IF(Message&lt;&gt;"","--",+RealEstate!E13)</f>
        <v>--</v>
      </c>
      <c r="N71" s="218" t="str">
        <f t="shared" ca="1" si="8"/>
        <v>EXPIRED</v>
      </c>
      <c r="O71" s="220" t="str">
        <f t="shared" ca="1" si="9"/>
        <v>--</v>
      </c>
      <c r="P71" s="213"/>
      <c r="Q71" s="212"/>
      <c r="R71" s="212"/>
      <c r="S71" s="212"/>
      <c r="T71" s="212"/>
      <c r="U71" s="212"/>
      <c r="V71" s="212"/>
      <c r="W71" s="212"/>
      <c r="Y71" s="212"/>
      <c r="Z71" s="212"/>
      <c r="AA71" s="212"/>
      <c r="AB71" s="212"/>
      <c r="AC71" s="213"/>
      <c r="AD71" s="213"/>
    </row>
    <row r="72" spans="1:30" x14ac:dyDescent="0.25">
      <c r="A72" s="210">
        <f t="shared" si="4"/>
        <v>9</v>
      </c>
      <c r="B72" s="211">
        <f t="shared" si="5"/>
        <v>49</v>
      </c>
      <c r="C72" s="217" t="str">
        <f ca="1">IF(Message&lt;&gt;"",Message,SUM(Income!D19:J19))</f>
        <v>EXPIRED</v>
      </c>
      <c r="D72" s="218" t="str">
        <f ca="1">IF(Message&lt;&gt;"","--",+Investments!P20)</f>
        <v>--</v>
      </c>
      <c r="E72" s="218" t="str">
        <f ca="1">+Income!O19</f>
        <v>--</v>
      </c>
      <c r="F72" s="219" t="str">
        <f ca="1">+Income!P19</f>
        <v>EXPIRED</v>
      </c>
      <c r="G72" s="217" t="str">
        <f ca="1">IF(Message&lt;&gt;"","--",-Expenses!E16)</f>
        <v>--</v>
      </c>
      <c r="H72" s="218" t="str">
        <f ca="1">IF(Message&lt;&gt;"",Message,RealEstate!K14)</f>
        <v>EXPIRED</v>
      </c>
      <c r="I72" s="218" t="str">
        <f t="shared" ca="1" si="6"/>
        <v>--</v>
      </c>
      <c r="J72" s="218" t="str">
        <f t="shared" ca="1" si="7"/>
        <v>EXPIRED</v>
      </c>
      <c r="K72" s="218" t="str">
        <f ca="1">IF(Message&lt;&gt;"","--",-RealEstate!F14)</f>
        <v>--</v>
      </c>
      <c r="L72" s="217" t="str">
        <f ca="1">IF(Message&lt;&gt;"",Message,+Investments!E20)</f>
        <v>EXPIRED</v>
      </c>
      <c r="M72" s="218" t="str">
        <f ca="1">IF(Message&lt;&gt;"","--",+RealEstate!E14)</f>
        <v>--</v>
      </c>
      <c r="N72" s="218" t="str">
        <f t="shared" ca="1" si="8"/>
        <v>EXPIRED</v>
      </c>
      <c r="O72" s="220" t="str">
        <f t="shared" ca="1" si="9"/>
        <v>--</v>
      </c>
      <c r="P72" s="213"/>
      <c r="Q72" s="212"/>
      <c r="R72" s="212"/>
      <c r="S72" s="212"/>
      <c r="T72" s="212"/>
      <c r="U72" s="212"/>
      <c r="V72" s="212"/>
      <c r="W72" s="212"/>
      <c r="Y72" s="212"/>
      <c r="Z72" s="212"/>
      <c r="AA72" s="212"/>
      <c r="AB72" s="212"/>
      <c r="AC72" s="213"/>
      <c r="AD72" s="213"/>
    </row>
    <row r="73" spans="1:30" x14ac:dyDescent="0.25">
      <c r="A73" s="210">
        <f>+A72+1</f>
        <v>10</v>
      </c>
      <c r="B73" s="211">
        <f>+B72+1</f>
        <v>50</v>
      </c>
      <c r="C73" s="217" t="str">
        <f ca="1">IF(Message&lt;&gt;"",Message,SUM(Income!D20:J20))</f>
        <v>EXPIRED</v>
      </c>
      <c r="D73" s="218" t="str">
        <f ca="1">IF(Message&lt;&gt;"","--",+Investments!P21)</f>
        <v>--</v>
      </c>
      <c r="E73" s="218" t="str">
        <f ca="1">+Income!O20</f>
        <v>--</v>
      </c>
      <c r="F73" s="219" t="str">
        <f ca="1">+Income!P20</f>
        <v>EXPIRED</v>
      </c>
      <c r="G73" s="217" t="str">
        <f ca="1">IF(Message&lt;&gt;"","--",-Expenses!E17)</f>
        <v>--</v>
      </c>
      <c r="H73" s="218" t="str">
        <f ca="1">IF(Message&lt;&gt;"",Message,RealEstate!K15)</f>
        <v>EXPIRED</v>
      </c>
      <c r="I73" s="218" t="str">
        <f t="shared" ca="1" si="6"/>
        <v>--</v>
      </c>
      <c r="J73" s="218" t="str">
        <f t="shared" ca="1" si="7"/>
        <v>EXPIRED</v>
      </c>
      <c r="K73" s="218" t="str">
        <f ca="1">IF(Message&lt;&gt;"","--",-RealEstate!F15)</f>
        <v>--</v>
      </c>
      <c r="L73" s="217" t="str">
        <f ca="1">IF(Message&lt;&gt;"",Message,+Investments!E21)</f>
        <v>EXPIRED</v>
      </c>
      <c r="M73" s="218" t="str">
        <f ca="1">IF(Message&lt;&gt;"","--",+RealEstate!E15)</f>
        <v>--</v>
      </c>
      <c r="N73" s="218" t="str">
        <f t="shared" ca="1" si="8"/>
        <v>EXPIRED</v>
      </c>
      <c r="O73" s="220" t="str">
        <f t="shared" ca="1" si="9"/>
        <v>--</v>
      </c>
      <c r="P73" s="213"/>
      <c r="Q73" s="212"/>
      <c r="R73" s="212"/>
      <c r="S73" s="212"/>
      <c r="T73" s="212"/>
      <c r="U73" s="212"/>
      <c r="V73" s="212"/>
      <c r="W73" s="212"/>
      <c r="Y73" s="212"/>
      <c r="Z73" s="212"/>
      <c r="AA73" s="212"/>
      <c r="AB73" s="212"/>
      <c r="AC73" s="213"/>
      <c r="AD73" s="213"/>
    </row>
    <row r="74" spans="1:30" x14ac:dyDescent="0.25">
      <c r="A74" s="210">
        <f t="shared" si="4"/>
        <v>11</v>
      </c>
      <c r="B74" s="211">
        <f t="shared" si="5"/>
        <v>51</v>
      </c>
      <c r="C74" s="217" t="str">
        <f ca="1">IF(Message&lt;&gt;"",Message,SUM(Income!D21:J21))</f>
        <v>EXPIRED</v>
      </c>
      <c r="D74" s="218" t="str">
        <f ca="1">IF(Message&lt;&gt;"","--",+Investments!P22)</f>
        <v>--</v>
      </c>
      <c r="E74" s="218" t="str">
        <f ca="1">+Income!O21</f>
        <v>--</v>
      </c>
      <c r="F74" s="219" t="str">
        <f ca="1">+Income!P21</f>
        <v>EXPIRED</v>
      </c>
      <c r="G74" s="217" t="str">
        <f ca="1">IF(Message&lt;&gt;"","--",-Expenses!E18)</f>
        <v>--</v>
      </c>
      <c r="H74" s="218" t="str">
        <f ca="1">IF(Message&lt;&gt;"",Message,RealEstate!K16)</f>
        <v>EXPIRED</v>
      </c>
      <c r="I74" s="218" t="str">
        <f t="shared" ca="1" si="6"/>
        <v>--</v>
      </c>
      <c r="J74" s="218" t="str">
        <f t="shared" ca="1" si="7"/>
        <v>EXPIRED</v>
      </c>
      <c r="K74" s="218" t="str">
        <f ca="1">IF(Message&lt;&gt;"","--",-RealEstate!F16)</f>
        <v>--</v>
      </c>
      <c r="L74" s="217" t="str">
        <f ca="1">IF(Message&lt;&gt;"",Message,+Investments!E22)</f>
        <v>EXPIRED</v>
      </c>
      <c r="M74" s="218" t="str">
        <f ca="1">IF(Message&lt;&gt;"","--",+RealEstate!E16)</f>
        <v>--</v>
      </c>
      <c r="N74" s="218" t="str">
        <f t="shared" ca="1" si="8"/>
        <v>EXPIRED</v>
      </c>
      <c r="O74" s="220" t="str">
        <f t="shared" ca="1" si="9"/>
        <v>--</v>
      </c>
      <c r="P74" s="213"/>
      <c r="Q74" s="212"/>
      <c r="R74" s="212"/>
      <c r="S74" s="212"/>
      <c r="T74" s="212"/>
      <c r="U74" s="212"/>
      <c r="V74" s="212"/>
      <c r="W74" s="212"/>
      <c r="Y74" s="212"/>
      <c r="Z74" s="212"/>
      <c r="AA74" s="212"/>
      <c r="AB74" s="212"/>
      <c r="AC74" s="213"/>
      <c r="AD74" s="213"/>
    </row>
    <row r="75" spans="1:30" x14ac:dyDescent="0.25">
      <c r="A75" s="210">
        <f t="shared" si="4"/>
        <v>12</v>
      </c>
      <c r="B75" s="211">
        <f t="shared" si="5"/>
        <v>52</v>
      </c>
      <c r="C75" s="217" t="str">
        <f ca="1">IF(Message&lt;&gt;"",Message,SUM(Income!D22:J22))</f>
        <v>EXPIRED</v>
      </c>
      <c r="D75" s="218" t="str">
        <f ca="1">IF(Message&lt;&gt;"","--",+Investments!P23)</f>
        <v>--</v>
      </c>
      <c r="E75" s="218" t="str">
        <f ca="1">+Income!O22</f>
        <v>--</v>
      </c>
      <c r="F75" s="219" t="str">
        <f ca="1">+Income!P22</f>
        <v>EXPIRED</v>
      </c>
      <c r="G75" s="217" t="str">
        <f ca="1">IF(Message&lt;&gt;"","--",-Expenses!E19)</f>
        <v>--</v>
      </c>
      <c r="H75" s="218" t="str">
        <f ca="1">IF(Message&lt;&gt;"",Message,RealEstate!K17)</f>
        <v>EXPIRED</v>
      </c>
      <c r="I75" s="218" t="str">
        <f t="shared" ca="1" si="6"/>
        <v>--</v>
      </c>
      <c r="J75" s="218" t="str">
        <f t="shared" ca="1" si="7"/>
        <v>EXPIRED</v>
      </c>
      <c r="K75" s="218" t="str">
        <f ca="1">IF(Message&lt;&gt;"","--",-RealEstate!F17)</f>
        <v>--</v>
      </c>
      <c r="L75" s="217" t="str">
        <f ca="1">IF(Message&lt;&gt;"",Message,+Investments!E23)</f>
        <v>EXPIRED</v>
      </c>
      <c r="M75" s="218" t="str">
        <f ca="1">IF(Message&lt;&gt;"","--",+RealEstate!E17)</f>
        <v>--</v>
      </c>
      <c r="N75" s="218" t="str">
        <f t="shared" ca="1" si="8"/>
        <v>EXPIRED</v>
      </c>
      <c r="O75" s="220" t="str">
        <f t="shared" ca="1" si="9"/>
        <v>--</v>
      </c>
      <c r="P75" s="213"/>
      <c r="Q75" s="212"/>
      <c r="R75" s="212"/>
      <c r="S75" s="212"/>
      <c r="T75" s="212"/>
      <c r="U75" s="212"/>
      <c r="V75" s="212"/>
      <c r="W75" s="212"/>
      <c r="Y75" s="212"/>
      <c r="Z75" s="212"/>
      <c r="AA75" s="212"/>
      <c r="AB75" s="212"/>
      <c r="AC75" s="213"/>
      <c r="AD75" s="213"/>
    </row>
    <row r="76" spans="1:30" x14ac:dyDescent="0.25">
      <c r="A76" s="210">
        <f t="shared" si="4"/>
        <v>13</v>
      </c>
      <c r="B76" s="211">
        <f t="shared" si="5"/>
        <v>53</v>
      </c>
      <c r="C76" s="217" t="str">
        <f ca="1">IF(Message&lt;&gt;"",Message,SUM(Income!D23:J23))</f>
        <v>EXPIRED</v>
      </c>
      <c r="D76" s="218" t="str">
        <f ca="1">IF(Message&lt;&gt;"","--",+Investments!P24)</f>
        <v>--</v>
      </c>
      <c r="E76" s="218" t="str">
        <f ca="1">+Income!O23</f>
        <v>--</v>
      </c>
      <c r="F76" s="219" t="str">
        <f ca="1">+Income!P23</f>
        <v>EXPIRED</v>
      </c>
      <c r="G76" s="217" t="str">
        <f ca="1">IF(Message&lt;&gt;"","--",-Expenses!E20)</f>
        <v>--</v>
      </c>
      <c r="H76" s="218" t="str">
        <f ca="1">IF(Message&lt;&gt;"",Message,RealEstate!K18)</f>
        <v>EXPIRED</v>
      </c>
      <c r="I76" s="218" t="str">
        <f t="shared" ca="1" si="6"/>
        <v>--</v>
      </c>
      <c r="J76" s="218" t="str">
        <f t="shared" ca="1" si="7"/>
        <v>EXPIRED</v>
      </c>
      <c r="K76" s="218" t="str">
        <f ca="1">IF(Message&lt;&gt;"","--",-RealEstate!F18)</f>
        <v>--</v>
      </c>
      <c r="L76" s="217" t="str">
        <f ca="1">IF(Message&lt;&gt;"",Message,+Investments!E24)</f>
        <v>EXPIRED</v>
      </c>
      <c r="M76" s="218" t="str">
        <f ca="1">IF(Message&lt;&gt;"","--",+RealEstate!E18)</f>
        <v>--</v>
      </c>
      <c r="N76" s="218" t="str">
        <f t="shared" ca="1" si="8"/>
        <v>EXPIRED</v>
      </c>
      <c r="O76" s="220" t="str">
        <f t="shared" ca="1" si="9"/>
        <v>--</v>
      </c>
      <c r="Q76" s="212"/>
      <c r="R76" s="212"/>
      <c r="S76" s="212"/>
      <c r="T76" s="212"/>
      <c r="U76" s="212"/>
      <c r="V76" s="212"/>
      <c r="W76" s="212"/>
      <c r="Y76" s="212"/>
      <c r="Z76" s="212"/>
      <c r="AA76" s="212"/>
      <c r="AB76" s="212"/>
      <c r="AC76" s="213"/>
      <c r="AD76" s="213"/>
    </row>
    <row r="77" spans="1:30" x14ac:dyDescent="0.25">
      <c r="A77" s="210">
        <f t="shared" si="4"/>
        <v>14</v>
      </c>
      <c r="B77" s="211">
        <f t="shared" si="5"/>
        <v>54</v>
      </c>
      <c r="C77" s="217" t="str">
        <f ca="1">IF(Message&lt;&gt;"",Message,SUM(Income!D24:J24))</f>
        <v>EXPIRED</v>
      </c>
      <c r="D77" s="218" t="str">
        <f ca="1">IF(Message&lt;&gt;"","--",+Investments!P25)</f>
        <v>--</v>
      </c>
      <c r="E77" s="218" t="str">
        <f ca="1">+Income!O24</f>
        <v>--</v>
      </c>
      <c r="F77" s="219" t="str">
        <f ca="1">+Income!P24</f>
        <v>EXPIRED</v>
      </c>
      <c r="G77" s="217" t="str">
        <f ca="1">IF(Message&lt;&gt;"","--",-Expenses!E21)</f>
        <v>--</v>
      </c>
      <c r="H77" s="218" t="str">
        <f ca="1">IF(Message&lt;&gt;"",Message,RealEstate!K19)</f>
        <v>EXPIRED</v>
      </c>
      <c r="I77" s="218" t="str">
        <f t="shared" ca="1" si="6"/>
        <v>--</v>
      </c>
      <c r="J77" s="218" t="str">
        <f t="shared" ca="1" si="7"/>
        <v>EXPIRED</v>
      </c>
      <c r="K77" s="218" t="str">
        <f ca="1">IF(Message&lt;&gt;"","--",-RealEstate!F19)</f>
        <v>--</v>
      </c>
      <c r="L77" s="217" t="str">
        <f ca="1">IF(Message&lt;&gt;"",Message,+Investments!E25)</f>
        <v>EXPIRED</v>
      </c>
      <c r="M77" s="218" t="str">
        <f ca="1">IF(Message&lt;&gt;"","--",+RealEstate!E19)</f>
        <v>--</v>
      </c>
      <c r="N77" s="218" t="str">
        <f t="shared" ca="1" si="8"/>
        <v>EXPIRED</v>
      </c>
      <c r="O77" s="220" t="str">
        <f t="shared" ca="1" si="9"/>
        <v>--</v>
      </c>
      <c r="Q77" s="212"/>
      <c r="R77" s="212"/>
      <c r="S77" s="212"/>
      <c r="T77" s="212"/>
      <c r="U77" s="212"/>
      <c r="V77" s="212"/>
      <c r="W77" s="212"/>
      <c r="Y77" s="212"/>
      <c r="Z77" s="212"/>
      <c r="AA77" s="212"/>
      <c r="AB77" s="212"/>
      <c r="AC77" s="213"/>
      <c r="AD77" s="213"/>
    </row>
    <row r="78" spans="1:30" x14ac:dyDescent="0.25">
      <c r="A78" s="210">
        <f t="shared" si="4"/>
        <v>15</v>
      </c>
      <c r="B78" s="211">
        <f t="shared" si="5"/>
        <v>55</v>
      </c>
      <c r="C78" s="217" t="str">
        <f ca="1">IF(Message&lt;&gt;"",Message,SUM(Income!D25:J25))</f>
        <v>EXPIRED</v>
      </c>
      <c r="D78" s="218" t="str">
        <f ca="1">IF(Message&lt;&gt;"","--",+Investments!P26)</f>
        <v>--</v>
      </c>
      <c r="E78" s="218" t="str">
        <f ca="1">+Income!O25</f>
        <v>--</v>
      </c>
      <c r="F78" s="219" t="str">
        <f ca="1">+Income!P25</f>
        <v>EXPIRED</v>
      </c>
      <c r="G78" s="217" t="str">
        <f ca="1">IF(Message&lt;&gt;"","--",-Expenses!E22)</f>
        <v>--</v>
      </c>
      <c r="H78" s="218" t="str">
        <f ca="1">IF(Message&lt;&gt;"",Message,RealEstate!K20)</f>
        <v>EXPIRED</v>
      </c>
      <c r="I78" s="218" t="str">
        <f t="shared" ca="1" si="6"/>
        <v>--</v>
      </c>
      <c r="J78" s="218" t="str">
        <f t="shared" ca="1" si="7"/>
        <v>EXPIRED</v>
      </c>
      <c r="K78" s="218" t="str">
        <f ca="1">IF(Message&lt;&gt;"","--",-RealEstate!F20)</f>
        <v>--</v>
      </c>
      <c r="L78" s="217" t="str">
        <f ca="1">IF(Message&lt;&gt;"",Message,+Investments!E26)</f>
        <v>EXPIRED</v>
      </c>
      <c r="M78" s="218" t="str">
        <f ca="1">IF(Message&lt;&gt;"","--",+RealEstate!E20)</f>
        <v>--</v>
      </c>
      <c r="N78" s="218" t="str">
        <f t="shared" ca="1" si="8"/>
        <v>EXPIRED</v>
      </c>
      <c r="O78" s="220" t="str">
        <f t="shared" ca="1" si="9"/>
        <v>--</v>
      </c>
      <c r="Q78" s="212"/>
      <c r="R78" s="212"/>
      <c r="S78" s="212"/>
      <c r="T78" s="212"/>
      <c r="U78" s="212"/>
      <c r="V78" s="212"/>
      <c r="W78" s="212"/>
      <c r="Y78" s="212"/>
      <c r="Z78" s="212"/>
      <c r="AA78" s="212"/>
      <c r="AB78" s="212"/>
      <c r="AC78" s="213"/>
      <c r="AD78" s="213"/>
    </row>
    <row r="79" spans="1:30" x14ac:dyDescent="0.25">
      <c r="A79" s="210">
        <f t="shared" si="4"/>
        <v>16</v>
      </c>
      <c r="B79" s="211">
        <f t="shared" si="5"/>
        <v>56</v>
      </c>
      <c r="C79" s="217" t="str">
        <f ca="1">IF(Message&lt;&gt;"",Message,SUM(Income!D26:J26))</f>
        <v>EXPIRED</v>
      </c>
      <c r="D79" s="218" t="str">
        <f ca="1">IF(Message&lt;&gt;"","--",+Investments!P27)</f>
        <v>--</v>
      </c>
      <c r="E79" s="218" t="str">
        <f ca="1">+Income!O26</f>
        <v>--</v>
      </c>
      <c r="F79" s="219" t="str">
        <f ca="1">+Income!P26</f>
        <v>EXPIRED</v>
      </c>
      <c r="G79" s="217" t="str">
        <f ca="1">IF(Message&lt;&gt;"","--",-Expenses!E23)</f>
        <v>--</v>
      </c>
      <c r="H79" s="218" t="str">
        <f ca="1">IF(Message&lt;&gt;"",Message,RealEstate!K21)</f>
        <v>EXPIRED</v>
      </c>
      <c r="I79" s="218" t="str">
        <f t="shared" ca="1" si="6"/>
        <v>--</v>
      </c>
      <c r="J79" s="218" t="str">
        <f t="shared" ca="1" si="7"/>
        <v>EXPIRED</v>
      </c>
      <c r="K79" s="218" t="str">
        <f ca="1">IF(Message&lt;&gt;"","--",-RealEstate!F21)</f>
        <v>--</v>
      </c>
      <c r="L79" s="217" t="str">
        <f ca="1">IF(Message&lt;&gt;"",Message,+Investments!E27)</f>
        <v>EXPIRED</v>
      </c>
      <c r="M79" s="218" t="str">
        <f ca="1">IF(Message&lt;&gt;"","--",+RealEstate!E21)</f>
        <v>--</v>
      </c>
      <c r="N79" s="218" t="str">
        <f t="shared" ca="1" si="8"/>
        <v>EXPIRED</v>
      </c>
      <c r="O79" s="220" t="str">
        <f t="shared" ca="1" si="9"/>
        <v>--</v>
      </c>
      <c r="Q79" s="212"/>
      <c r="R79" s="212"/>
      <c r="S79" s="212"/>
      <c r="T79" s="212"/>
      <c r="U79" s="212"/>
      <c r="V79" s="212"/>
      <c r="W79" s="212"/>
      <c r="Y79" s="212"/>
      <c r="Z79" s="212"/>
      <c r="AA79" s="212"/>
      <c r="AB79" s="212"/>
      <c r="AC79" s="213"/>
      <c r="AD79" s="213"/>
    </row>
    <row r="80" spans="1:30" x14ac:dyDescent="0.25">
      <c r="A80" s="210">
        <f t="shared" si="4"/>
        <v>17</v>
      </c>
      <c r="B80" s="211">
        <f t="shared" si="5"/>
        <v>57</v>
      </c>
      <c r="C80" s="217" t="str">
        <f ca="1">IF(Message&lt;&gt;"",Message,SUM(Income!D27:J27))</f>
        <v>EXPIRED</v>
      </c>
      <c r="D80" s="218" t="str">
        <f ca="1">IF(Message&lt;&gt;"","--",+Investments!P28)</f>
        <v>--</v>
      </c>
      <c r="E80" s="218" t="str">
        <f ca="1">+Income!O27</f>
        <v>--</v>
      </c>
      <c r="F80" s="219" t="str">
        <f ca="1">+Income!P27</f>
        <v>EXPIRED</v>
      </c>
      <c r="G80" s="217" t="str">
        <f ca="1">IF(Message&lt;&gt;"","--",-Expenses!E24)</f>
        <v>--</v>
      </c>
      <c r="H80" s="218" t="str">
        <f ca="1">IF(Message&lt;&gt;"",Message,RealEstate!K22)</f>
        <v>EXPIRED</v>
      </c>
      <c r="I80" s="218" t="str">
        <f t="shared" ca="1" si="6"/>
        <v>--</v>
      </c>
      <c r="J80" s="218" t="str">
        <f t="shared" ca="1" si="7"/>
        <v>EXPIRED</v>
      </c>
      <c r="K80" s="218" t="str">
        <f ca="1">IF(Message&lt;&gt;"","--",-RealEstate!F22)</f>
        <v>--</v>
      </c>
      <c r="L80" s="217" t="str">
        <f ca="1">IF(Message&lt;&gt;"",Message,+Investments!E28)</f>
        <v>EXPIRED</v>
      </c>
      <c r="M80" s="218" t="str">
        <f ca="1">IF(Message&lt;&gt;"","--",+RealEstate!E22)</f>
        <v>--</v>
      </c>
      <c r="N80" s="218" t="str">
        <f t="shared" ca="1" si="8"/>
        <v>EXPIRED</v>
      </c>
      <c r="O80" s="220" t="str">
        <f t="shared" ca="1" si="9"/>
        <v>--</v>
      </c>
      <c r="Q80" s="212"/>
      <c r="R80" s="212"/>
      <c r="S80" s="212"/>
      <c r="T80" s="212"/>
      <c r="U80" s="212"/>
      <c r="V80" s="212"/>
      <c r="W80" s="212"/>
      <c r="Y80" s="212"/>
      <c r="Z80" s="212"/>
      <c r="AA80" s="212"/>
      <c r="AB80" s="212"/>
      <c r="AC80" s="213"/>
      <c r="AD80" s="213"/>
    </row>
    <row r="81" spans="1:30" x14ac:dyDescent="0.25">
      <c r="A81" s="210">
        <f t="shared" si="4"/>
        <v>18</v>
      </c>
      <c r="B81" s="211">
        <f t="shared" si="5"/>
        <v>58</v>
      </c>
      <c r="C81" s="217" t="str">
        <f ca="1">IF(Message&lt;&gt;"",Message,SUM(Income!D28:J28))</f>
        <v>EXPIRED</v>
      </c>
      <c r="D81" s="218" t="str">
        <f ca="1">IF(Message&lt;&gt;"","--",+Investments!P29)</f>
        <v>--</v>
      </c>
      <c r="E81" s="218" t="str">
        <f ca="1">+Income!O28</f>
        <v>--</v>
      </c>
      <c r="F81" s="219" t="str">
        <f ca="1">+Income!P28</f>
        <v>EXPIRED</v>
      </c>
      <c r="G81" s="217" t="str">
        <f ca="1">IF(Message&lt;&gt;"","--",-Expenses!E25)</f>
        <v>--</v>
      </c>
      <c r="H81" s="218" t="str">
        <f ca="1">IF(Message&lt;&gt;"",Message,RealEstate!K23)</f>
        <v>EXPIRED</v>
      </c>
      <c r="I81" s="218" t="str">
        <f t="shared" ca="1" si="6"/>
        <v>--</v>
      </c>
      <c r="J81" s="218" t="str">
        <f t="shared" ca="1" si="7"/>
        <v>EXPIRED</v>
      </c>
      <c r="K81" s="218" t="str">
        <f ca="1">IF(Message&lt;&gt;"","--",-RealEstate!F23)</f>
        <v>--</v>
      </c>
      <c r="L81" s="217" t="str">
        <f ca="1">IF(Message&lt;&gt;"",Message,+Investments!E29)</f>
        <v>EXPIRED</v>
      </c>
      <c r="M81" s="218" t="str">
        <f ca="1">IF(Message&lt;&gt;"","--",+RealEstate!E23)</f>
        <v>--</v>
      </c>
      <c r="N81" s="218" t="str">
        <f t="shared" ca="1" si="8"/>
        <v>EXPIRED</v>
      </c>
      <c r="O81" s="220" t="str">
        <f t="shared" ca="1" si="9"/>
        <v>--</v>
      </c>
      <c r="Q81" s="212"/>
      <c r="R81" s="212"/>
      <c r="S81" s="212"/>
      <c r="T81" s="212"/>
      <c r="U81" s="212"/>
      <c r="V81" s="212"/>
      <c r="W81" s="212"/>
      <c r="Y81" s="212"/>
      <c r="Z81" s="212"/>
      <c r="AA81" s="212"/>
      <c r="AB81" s="212"/>
      <c r="AC81" s="213"/>
      <c r="AD81" s="213"/>
    </row>
    <row r="82" spans="1:30" x14ac:dyDescent="0.25">
      <c r="A82" s="210">
        <f t="shared" si="4"/>
        <v>19</v>
      </c>
      <c r="B82" s="211">
        <f t="shared" si="5"/>
        <v>59</v>
      </c>
      <c r="C82" s="217" t="str">
        <f ca="1">IF(Message&lt;&gt;"",Message,SUM(Income!D29:J29))</f>
        <v>EXPIRED</v>
      </c>
      <c r="D82" s="218" t="str">
        <f ca="1">IF(Message&lt;&gt;"","--",+Investments!P30)</f>
        <v>--</v>
      </c>
      <c r="E82" s="218" t="str">
        <f ca="1">+Income!O29</f>
        <v>--</v>
      </c>
      <c r="F82" s="219" t="str">
        <f ca="1">+Income!P29</f>
        <v>EXPIRED</v>
      </c>
      <c r="G82" s="217" t="str">
        <f ca="1">IF(Message&lt;&gt;"","--",-Expenses!E26)</f>
        <v>--</v>
      </c>
      <c r="H82" s="218" t="str">
        <f ca="1">IF(Message&lt;&gt;"",Message,RealEstate!K24)</f>
        <v>EXPIRED</v>
      </c>
      <c r="I82" s="218" t="str">
        <f t="shared" ca="1" si="6"/>
        <v>--</v>
      </c>
      <c r="J82" s="218" t="str">
        <f t="shared" ca="1" si="7"/>
        <v>EXPIRED</v>
      </c>
      <c r="K82" s="218" t="str">
        <f ca="1">IF(Message&lt;&gt;"","--",-RealEstate!F24)</f>
        <v>--</v>
      </c>
      <c r="L82" s="217" t="str">
        <f ca="1">IF(Message&lt;&gt;"",Message,+Investments!E30)</f>
        <v>EXPIRED</v>
      </c>
      <c r="M82" s="218" t="str">
        <f ca="1">IF(Message&lt;&gt;"","--",+RealEstate!E24)</f>
        <v>--</v>
      </c>
      <c r="N82" s="218" t="str">
        <f t="shared" ca="1" si="8"/>
        <v>EXPIRED</v>
      </c>
      <c r="O82" s="220" t="str">
        <f t="shared" ca="1" si="9"/>
        <v>--</v>
      </c>
      <c r="Q82" s="212"/>
      <c r="R82" s="212"/>
      <c r="S82" s="212"/>
      <c r="T82" s="212"/>
      <c r="U82" s="212"/>
      <c r="V82" s="212"/>
      <c r="W82" s="212"/>
      <c r="Y82" s="212"/>
      <c r="Z82" s="212"/>
      <c r="AA82" s="212"/>
      <c r="AB82" s="212"/>
      <c r="AC82" s="213"/>
      <c r="AD82" s="213"/>
    </row>
    <row r="83" spans="1:30" x14ac:dyDescent="0.25">
      <c r="A83" s="210">
        <f t="shared" si="4"/>
        <v>20</v>
      </c>
      <c r="B83" s="211">
        <f t="shared" si="5"/>
        <v>60</v>
      </c>
      <c r="C83" s="217" t="str">
        <f ca="1">IF(Message&lt;&gt;"",Message,SUM(Income!D30:J30))</f>
        <v>EXPIRED</v>
      </c>
      <c r="D83" s="218" t="str">
        <f ca="1">IF(Message&lt;&gt;"","--",+Investments!P31)</f>
        <v>--</v>
      </c>
      <c r="E83" s="218" t="str">
        <f ca="1">+Income!O30</f>
        <v>--</v>
      </c>
      <c r="F83" s="219" t="str">
        <f ca="1">+Income!P30</f>
        <v>EXPIRED</v>
      </c>
      <c r="G83" s="217" t="str">
        <f ca="1">IF(Message&lt;&gt;"","--",-Expenses!E27)</f>
        <v>--</v>
      </c>
      <c r="H83" s="218" t="str">
        <f ca="1">IF(Message&lt;&gt;"",Message,RealEstate!K25)</f>
        <v>EXPIRED</v>
      </c>
      <c r="I83" s="218" t="str">
        <f t="shared" ca="1" si="6"/>
        <v>--</v>
      </c>
      <c r="J83" s="218" t="str">
        <f t="shared" ca="1" si="7"/>
        <v>EXPIRED</v>
      </c>
      <c r="K83" s="218" t="str">
        <f ca="1">IF(Message&lt;&gt;"","--",-RealEstate!F25)</f>
        <v>--</v>
      </c>
      <c r="L83" s="217" t="str">
        <f ca="1">IF(Message&lt;&gt;"",Message,+Investments!E31)</f>
        <v>EXPIRED</v>
      </c>
      <c r="M83" s="218" t="str">
        <f ca="1">IF(Message&lt;&gt;"","--",+RealEstate!E25)</f>
        <v>--</v>
      </c>
      <c r="N83" s="218" t="str">
        <f t="shared" ca="1" si="8"/>
        <v>EXPIRED</v>
      </c>
      <c r="O83" s="220" t="str">
        <f t="shared" ca="1" si="9"/>
        <v>--</v>
      </c>
      <c r="Q83" s="212"/>
      <c r="R83" s="212"/>
      <c r="S83" s="212"/>
      <c r="T83" s="212"/>
      <c r="U83" s="212"/>
      <c r="V83" s="212"/>
      <c r="W83" s="212"/>
      <c r="Y83" s="212"/>
      <c r="Z83" s="212"/>
      <c r="AA83" s="212"/>
      <c r="AB83" s="212"/>
      <c r="AC83" s="213"/>
      <c r="AD83" s="213"/>
    </row>
    <row r="84" spans="1:30" x14ac:dyDescent="0.25">
      <c r="A84" s="210">
        <f t="shared" si="4"/>
        <v>21</v>
      </c>
      <c r="B84" s="211">
        <f t="shared" si="5"/>
        <v>61</v>
      </c>
      <c r="C84" s="217" t="str">
        <f ca="1">IF(Message&lt;&gt;"",Message,SUM(Income!D31:J31))</f>
        <v>EXPIRED</v>
      </c>
      <c r="D84" s="218" t="str">
        <f ca="1">IF(Message&lt;&gt;"","--",+Investments!P32)</f>
        <v>--</v>
      </c>
      <c r="E84" s="218" t="str">
        <f ca="1">+Income!O31</f>
        <v>--</v>
      </c>
      <c r="F84" s="219" t="str">
        <f ca="1">+Income!P31</f>
        <v>EXPIRED</v>
      </c>
      <c r="G84" s="217" t="str">
        <f ca="1">IF(Message&lt;&gt;"","--",-Expenses!E28)</f>
        <v>--</v>
      </c>
      <c r="H84" s="218" t="str">
        <f ca="1">IF(Message&lt;&gt;"",Message,RealEstate!K26)</f>
        <v>EXPIRED</v>
      </c>
      <c r="I84" s="218" t="str">
        <f t="shared" ca="1" si="6"/>
        <v>--</v>
      </c>
      <c r="J84" s="218" t="str">
        <f t="shared" ca="1" si="7"/>
        <v>EXPIRED</v>
      </c>
      <c r="K84" s="218" t="str">
        <f ca="1">IF(Message&lt;&gt;"","--",-RealEstate!F26)</f>
        <v>--</v>
      </c>
      <c r="L84" s="217" t="str">
        <f ca="1">IF(Message&lt;&gt;"",Message,+Investments!E32)</f>
        <v>EXPIRED</v>
      </c>
      <c r="M84" s="218" t="str">
        <f ca="1">IF(Message&lt;&gt;"","--",+RealEstate!E26)</f>
        <v>--</v>
      </c>
      <c r="N84" s="218" t="str">
        <f t="shared" ca="1" si="8"/>
        <v>EXPIRED</v>
      </c>
      <c r="O84" s="220" t="str">
        <f t="shared" ca="1" si="9"/>
        <v>--</v>
      </c>
      <c r="Q84" s="212"/>
      <c r="R84" s="212"/>
      <c r="S84" s="212"/>
      <c r="T84" s="212"/>
      <c r="U84" s="212"/>
      <c r="V84" s="212"/>
      <c r="W84" s="212"/>
      <c r="Y84" s="212"/>
      <c r="Z84" s="212"/>
      <c r="AA84" s="212"/>
      <c r="AB84" s="212"/>
      <c r="AC84" s="213"/>
      <c r="AD84" s="213"/>
    </row>
    <row r="85" spans="1:30" x14ac:dyDescent="0.25">
      <c r="A85" s="210">
        <f t="shared" si="4"/>
        <v>22</v>
      </c>
      <c r="B85" s="211">
        <f t="shared" si="5"/>
        <v>62</v>
      </c>
      <c r="C85" s="217" t="str">
        <f ca="1">IF(Message&lt;&gt;"",Message,SUM(Income!D32:J32))</f>
        <v>EXPIRED</v>
      </c>
      <c r="D85" s="218" t="str">
        <f ca="1">IF(Message&lt;&gt;"","--",+Investments!P33)</f>
        <v>--</v>
      </c>
      <c r="E85" s="218" t="str">
        <f ca="1">+Income!O32</f>
        <v>--</v>
      </c>
      <c r="F85" s="219" t="str">
        <f ca="1">+Income!P32</f>
        <v>EXPIRED</v>
      </c>
      <c r="G85" s="217" t="str">
        <f ca="1">IF(Message&lt;&gt;"","--",-Expenses!E29)</f>
        <v>--</v>
      </c>
      <c r="H85" s="218" t="str">
        <f ca="1">IF(Message&lt;&gt;"",Message,RealEstate!K27)</f>
        <v>EXPIRED</v>
      </c>
      <c r="I85" s="218" t="str">
        <f t="shared" ca="1" si="6"/>
        <v>--</v>
      </c>
      <c r="J85" s="218" t="str">
        <f t="shared" ca="1" si="7"/>
        <v>EXPIRED</v>
      </c>
      <c r="K85" s="218" t="str">
        <f ca="1">IF(Message&lt;&gt;"","--",-RealEstate!F27)</f>
        <v>--</v>
      </c>
      <c r="L85" s="217" t="str">
        <f ca="1">IF(Message&lt;&gt;"",Message,+Investments!E33)</f>
        <v>EXPIRED</v>
      </c>
      <c r="M85" s="218" t="str">
        <f ca="1">IF(Message&lt;&gt;"","--",+RealEstate!E27)</f>
        <v>--</v>
      </c>
      <c r="N85" s="218" t="str">
        <f t="shared" ca="1" si="8"/>
        <v>EXPIRED</v>
      </c>
      <c r="O85" s="220" t="str">
        <f t="shared" ca="1" si="9"/>
        <v>--</v>
      </c>
      <c r="Q85" s="212"/>
      <c r="R85" s="212"/>
      <c r="S85" s="212"/>
      <c r="T85" s="212"/>
      <c r="U85" s="212"/>
      <c r="V85" s="212"/>
      <c r="W85" s="212"/>
      <c r="Y85" s="212"/>
      <c r="Z85" s="212"/>
      <c r="AA85" s="212"/>
      <c r="AB85" s="212"/>
      <c r="AC85" s="213"/>
      <c r="AD85" s="213"/>
    </row>
    <row r="86" spans="1:30" x14ac:dyDescent="0.25">
      <c r="A86" s="210">
        <f t="shared" si="4"/>
        <v>23</v>
      </c>
      <c r="B86" s="211">
        <f t="shared" si="5"/>
        <v>63</v>
      </c>
      <c r="C86" s="217" t="str">
        <f ca="1">IF(Message&lt;&gt;"",Message,SUM(Income!D33:J33))</f>
        <v>EXPIRED</v>
      </c>
      <c r="D86" s="218" t="str">
        <f ca="1">IF(Message&lt;&gt;"","--",+Investments!P34)</f>
        <v>--</v>
      </c>
      <c r="E86" s="218" t="str">
        <f ca="1">+Income!O33</f>
        <v>--</v>
      </c>
      <c r="F86" s="219" t="str">
        <f ca="1">+Income!P33</f>
        <v>EXPIRED</v>
      </c>
      <c r="G86" s="217" t="str">
        <f ca="1">IF(Message&lt;&gt;"","--",-Expenses!E30)</f>
        <v>--</v>
      </c>
      <c r="H86" s="218" t="str">
        <f ca="1">IF(Message&lt;&gt;"",Message,RealEstate!K28)</f>
        <v>EXPIRED</v>
      </c>
      <c r="I86" s="218" t="str">
        <f t="shared" ca="1" si="6"/>
        <v>--</v>
      </c>
      <c r="J86" s="218" t="str">
        <f t="shared" ca="1" si="7"/>
        <v>EXPIRED</v>
      </c>
      <c r="K86" s="218" t="str">
        <f ca="1">IF(Message&lt;&gt;"","--",-RealEstate!F28)</f>
        <v>--</v>
      </c>
      <c r="L86" s="217" t="str">
        <f ca="1">IF(Message&lt;&gt;"",Message,+Investments!E34)</f>
        <v>EXPIRED</v>
      </c>
      <c r="M86" s="218" t="str">
        <f ca="1">IF(Message&lt;&gt;"","--",+RealEstate!E28)</f>
        <v>--</v>
      </c>
      <c r="N86" s="218" t="str">
        <f t="shared" ca="1" si="8"/>
        <v>EXPIRED</v>
      </c>
      <c r="O86" s="220" t="str">
        <f t="shared" ca="1" si="9"/>
        <v>--</v>
      </c>
      <c r="Q86" s="212"/>
      <c r="R86" s="212"/>
      <c r="S86" s="212"/>
      <c r="T86" s="212"/>
      <c r="U86" s="212"/>
      <c r="V86" s="212"/>
      <c r="W86" s="212"/>
      <c r="Y86" s="212"/>
      <c r="Z86" s="212"/>
      <c r="AA86" s="212"/>
      <c r="AB86" s="212"/>
      <c r="AC86" s="213"/>
      <c r="AD86" s="213"/>
    </row>
    <row r="87" spans="1:30" x14ac:dyDescent="0.25">
      <c r="A87" s="210">
        <f t="shared" si="4"/>
        <v>24</v>
      </c>
      <c r="B87" s="211">
        <f t="shared" si="5"/>
        <v>64</v>
      </c>
      <c r="C87" s="217" t="str">
        <f ca="1">IF(Message&lt;&gt;"",Message,SUM(Income!D34:J34))</f>
        <v>EXPIRED</v>
      </c>
      <c r="D87" s="218" t="str">
        <f ca="1">IF(Message&lt;&gt;"","--",+Investments!P35)</f>
        <v>--</v>
      </c>
      <c r="E87" s="218" t="str">
        <f ca="1">+Income!O34</f>
        <v>--</v>
      </c>
      <c r="F87" s="219" t="str">
        <f ca="1">+Income!P34</f>
        <v>EXPIRED</v>
      </c>
      <c r="G87" s="217" t="str">
        <f ca="1">IF(Message&lt;&gt;"","--",-Expenses!E31)</f>
        <v>--</v>
      </c>
      <c r="H87" s="218" t="str">
        <f ca="1">IF(Message&lt;&gt;"",Message,RealEstate!K29)</f>
        <v>EXPIRED</v>
      </c>
      <c r="I87" s="218" t="str">
        <f t="shared" ca="1" si="6"/>
        <v>--</v>
      </c>
      <c r="J87" s="218" t="str">
        <f t="shared" ca="1" si="7"/>
        <v>EXPIRED</v>
      </c>
      <c r="K87" s="218" t="str">
        <f ca="1">IF(Message&lt;&gt;"","--",-RealEstate!F29)</f>
        <v>--</v>
      </c>
      <c r="L87" s="217" t="str">
        <f ca="1">IF(Message&lt;&gt;"",Message,+Investments!E35)</f>
        <v>EXPIRED</v>
      </c>
      <c r="M87" s="218" t="str">
        <f ca="1">IF(Message&lt;&gt;"","--",+RealEstate!E29)</f>
        <v>--</v>
      </c>
      <c r="N87" s="218" t="str">
        <f t="shared" ca="1" si="8"/>
        <v>EXPIRED</v>
      </c>
      <c r="O87" s="220" t="str">
        <f t="shared" ca="1" si="9"/>
        <v>--</v>
      </c>
      <c r="Q87" s="212"/>
      <c r="R87" s="212"/>
      <c r="S87" s="212"/>
      <c r="T87" s="212"/>
      <c r="U87" s="212"/>
      <c r="V87" s="212"/>
      <c r="W87" s="212"/>
      <c r="Y87" s="212"/>
      <c r="Z87" s="212"/>
      <c r="AA87" s="212"/>
      <c r="AB87" s="212"/>
      <c r="AC87" s="213"/>
      <c r="AD87" s="213"/>
    </row>
    <row r="88" spans="1:30" x14ac:dyDescent="0.25">
      <c r="A88" s="210">
        <f t="shared" si="4"/>
        <v>25</v>
      </c>
      <c r="B88" s="211">
        <f t="shared" si="5"/>
        <v>65</v>
      </c>
      <c r="C88" s="217" t="str">
        <f ca="1">IF(Message&lt;&gt;"",Message,SUM(Income!D35:J35))</f>
        <v>EXPIRED</v>
      </c>
      <c r="D88" s="218" t="str">
        <f ca="1">IF(Message&lt;&gt;"","--",+Investments!P36)</f>
        <v>--</v>
      </c>
      <c r="E88" s="218" t="str">
        <f ca="1">+Income!O35</f>
        <v>--</v>
      </c>
      <c r="F88" s="219" t="str">
        <f ca="1">+Income!P35</f>
        <v>EXPIRED</v>
      </c>
      <c r="G88" s="217" t="str">
        <f ca="1">IF(Message&lt;&gt;"","--",-Expenses!E32)</f>
        <v>--</v>
      </c>
      <c r="H88" s="218" t="str">
        <f ca="1">IF(Message&lt;&gt;"",Message,RealEstate!K30)</f>
        <v>EXPIRED</v>
      </c>
      <c r="I88" s="218" t="str">
        <f t="shared" ca="1" si="6"/>
        <v>--</v>
      </c>
      <c r="J88" s="218" t="str">
        <f t="shared" ca="1" si="7"/>
        <v>EXPIRED</v>
      </c>
      <c r="K88" s="218" t="str">
        <f ca="1">IF(Message&lt;&gt;"","--",-RealEstate!F30)</f>
        <v>--</v>
      </c>
      <c r="L88" s="217" t="str">
        <f ca="1">IF(Message&lt;&gt;"",Message,+Investments!E36)</f>
        <v>EXPIRED</v>
      </c>
      <c r="M88" s="218" t="str">
        <f ca="1">IF(Message&lt;&gt;"","--",+RealEstate!E30)</f>
        <v>--</v>
      </c>
      <c r="N88" s="218" t="str">
        <f t="shared" ca="1" si="8"/>
        <v>EXPIRED</v>
      </c>
      <c r="O88" s="220" t="str">
        <f t="shared" ca="1" si="9"/>
        <v>--</v>
      </c>
      <c r="Q88" s="212"/>
      <c r="R88" s="212"/>
      <c r="S88" s="212"/>
      <c r="T88" s="212"/>
      <c r="U88" s="212"/>
      <c r="V88" s="212"/>
      <c r="W88" s="212"/>
      <c r="Y88" s="212"/>
      <c r="Z88" s="212"/>
      <c r="AA88" s="212"/>
      <c r="AB88" s="212"/>
      <c r="AC88" s="213"/>
      <c r="AD88" s="213"/>
    </row>
    <row r="89" spans="1:30" x14ac:dyDescent="0.25">
      <c r="A89" s="210">
        <f t="shared" si="4"/>
        <v>26</v>
      </c>
      <c r="B89" s="211">
        <f t="shared" si="5"/>
        <v>66</v>
      </c>
      <c r="C89" s="217" t="str">
        <f ca="1">IF(Message&lt;&gt;"",Message,SUM(Income!D36:J36))</f>
        <v>EXPIRED</v>
      </c>
      <c r="D89" s="218" t="str">
        <f ca="1">IF(Message&lt;&gt;"","--",+Investments!P37)</f>
        <v>--</v>
      </c>
      <c r="E89" s="218" t="str">
        <f ca="1">+Income!O36</f>
        <v>--</v>
      </c>
      <c r="F89" s="219" t="str">
        <f ca="1">+Income!P36</f>
        <v>EXPIRED</v>
      </c>
      <c r="G89" s="217" t="str">
        <f ca="1">IF(Message&lt;&gt;"","--",-Expenses!E33)</f>
        <v>--</v>
      </c>
      <c r="H89" s="218" t="str">
        <f ca="1">IF(Message&lt;&gt;"",Message,RealEstate!K31)</f>
        <v>EXPIRED</v>
      </c>
      <c r="I89" s="218" t="str">
        <f t="shared" ca="1" si="6"/>
        <v>--</v>
      </c>
      <c r="J89" s="218" t="str">
        <f t="shared" ca="1" si="7"/>
        <v>EXPIRED</v>
      </c>
      <c r="K89" s="218" t="str">
        <f ca="1">IF(Message&lt;&gt;"","--",-RealEstate!F31)</f>
        <v>--</v>
      </c>
      <c r="L89" s="217" t="str">
        <f ca="1">IF(Message&lt;&gt;"",Message,+Investments!E37)</f>
        <v>EXPIRED</v>
      </c>
      <c r="M89" s="218" t="str">
        <f ca="1">IF(Message&lt;&gt;"","--",+RealEstate!E31)</f>
        <v>--</v>
      </c>
      <c r="N89" s="218" t="str">
        <f t="shared" ca="1" si="8"/>
        <v>EXPIRED</v>
      </c>
      <c r="O89" s="220" t="str">
        <f t="shared" ca="1" si="9"/>
        <v>--</v>
      </c>
      <c r="Q89" s="212"/>
      <c r="R89" s="212"/>
      <c r="S89" s="212"/>
      <c r="T89" s="212"/>
      <c r="U89" s="212"/>
      <c r="V89" s="212"/>
      <c r="W89" s="212"/>
      <c r="Y89" s="212"/>
      <c r="Z89" s="212"/>
      <c r="AA89" s="212"/>
      <c r="AB89" s="212"/>
      <c r="AC89" s="213"/>
    </row>
    <row r="90" spans="1:30" x14ac:dyDescent="0.25">
      <c r="A90" s="210">
        <f t="shared" si="4"/>
        <v>27</v>
      </c>
      <c r="B90" s="211">
        <f t="shared" si="5"/>
        <v>67</v>
      </c>
      <c r="C90" s="217" t="str">
        <f ca="1">IF(Message&lt;&gt;"",Message,SUM(Income!D37:J37))</f>
        <v>EXPIRED</v>
      </c>
      <c r="D90" s="218" t="str">
        <f ca="1">IF(Message&lt;&gt;"","--",+Investments!P38)</f>
        <v>--</v>
      </c>
      <c r="E90" s="218" t="str">
        <f ca="1">+Income!O37</f>
        <v>--</v>
      </c>
      <c r="F90" s="219" t="str">
        <f ca="1">+Income!P37</f>
        <v>EXPIRED</v>
      </c>
      <c r="G90" s="217" t="str">
        <f ca="1">IF(Message&lt;&gt;"","--",-Expenses!E34)</f>
        <v>--</v>
      </c>
      <c r="H90" s="218" t="str">
        <f ca="1">IF(Message&lt;&gt;"",Message,RealEstate!K32)</f>
        <v>EXPIRED</v>
      </c>
      <c r="I90" s="218" t="str">
        <f t="shared" ca="1" si="6"/>
        <v>--</v>
      </c>
      <c r="J90" s="218" t="str">
        <f t="shared" ca="1" si="7"/>
        <v>EXPIRED</v>
      </c>
      <c r="K90" s="218" t="str">
        <f ca="1">IF(Message&lt;&gt;"","--",-RealEstate!F32)</f>
        <v>--</v>
      </c>
      <c r="L90" s="217" t="str">
        <f ca="1">IF(Message&lt;&gt;"",Message,+Investments!E38)</f>
        <v>EXPIRED</v>
      </c>
      <c r="M90" s="218" t="str">
        <f ca="1">IF(Message&lt;&gt;"","--",+RealEstate!E32)</f>
        <v>--</v>
      </c>
      <c r="N90" s="218" t="str">
        <f t="shared" ca="1" si="8"/>
        <v>EXPIRED</v>
      </c>
      <c r="O90" s="220" t="str">
        <f t="shared" ca="1" si="9"/>
        <v>--</v>
      </c>
      <c r="Q90" s="212"/>
      <c r="R90" s="212"/>
      <c r="S90" s="212"/>
      <c r="T90" s="212"/>
      <c r="U90" s="212"/>
      <c r="V90" s="212"/>
      <c r="W90" s="212"/>
      <c r="Y90" s="212"/>
      <c r="Z90" s="212"/>
      <c r="AA90" s="212"/>
      <c r="AB90" s="212"/>
      <c r="AC90" s="213"/>
    </row>
    <row r="91" spans="1:30" x14ac:dyDescent="0.25">
      <c r="A91" s="210">
        <f t="shared" si="4"/>
        <v>28</v>
      </c>
      <c r="B91" s="211">
        <f t="shared" si="5"/>
        <v>68</v>
      </c>
      <c r="C91" s="217" t="str">
        <f ca="1">IF(Message&lt;&gt;"",Message,SUM(Income!D38:J38))</f>
        <v>EXPIRED</v>
      </c>
      <c r="D91" s="218" t="str">
        <f ca="1">IF(Message&lt;&gt;"","--",+Investments!P39)</f>
        <v>--</v>
      </c>
      <c r="E91" s="218" t="str">
        <f ca="1">+Income!O38</f>
        <v>--</v>
      </c>
      <c r="F91" s="219" t="str">
        <f ca="1">+Income!P38</f>
        <v>EXPIRED</v>
      </c>
      <c r="G91" s="217" t="str">
        <f ca="1">IF(Message&lt;&gt;"","--",-Expenses!E35)</f>
        <v>--</v>
      </c>
      <c r="H91" s="218" t="str">
        <f ca="1">IF(Message&lt;&gt;"",Message,RealEstate!K33)</f>
        <v>EXPIRED</v>
      </c>
      <c r="I91" s="218" t="str">
        <f t="shared" ca="1" si="6"/>
        <v>--</v>
      </c>
      <c r="J91" s="218" t="str">
        <f t="shared" ca="1" si="7"/>
        <v>EXPIRED</v>
      </c>
      <c r="K91" s="218" t="str">
        <f ca="1">IF(Message&lt;&gt;"","--",-RealEstate!F33)</f>
        <v>--</v>
      </c>
      <c r="L91" s="217" t="str">
        <f ca="1">IF(Message&lt;&gt;"",Message,+Investments!E39)</f>
        <v>EXPIRED</v>
      </c>
      <c r="M91" s="218" t="str">
        <f ca="1">IF(Message&lt;&gt;"","--",+RealEstate!E33)</f>
        <v>--</v>
      </c>
      <c r="N91" s="218" t="str">
        <f t="shared" ca="1" si="8"/>
        <v>EXPIRED</v>
      </c>
      <c r="O91" s="220" t="str">
        <f t="shared" ca="1" si="9"/>
        <v>--</v>
      </c>
      <c r="Y91" s="212"/>
      <c r="Z91" s="212"/>
      <c r="AA91" s="212"/>
      <c r="AB91" s="212"/>
      <c r="AC91" s="213"/>
    </row>
    <row r="92" spans="1:30" x14ac:dyDescent="0.25">
      <c r="A92" s="210">
        <f t="shared" si="4"/>
        <v>29</v>
      </c>
      <c r="B92" s="211">
        <f t="shared" si="5"/>
        <v>69</v>
      </c>
      <c r="C92" s="217" t="str">
        <f ca="1">IF(Message&lt;&gt;"",Message,SUM(Income!D39:J39))</f>
        <v>EXPIRED</v>
      </c>
      <c r="D92" s="218" t="str">
        <f ca="1">IF(Message&lt;&gt;"","--",+Investments!P40)</f>
        <v>--</v>
      </c>
      <c r="E92" s="218" t="str">
        <f ca="1">+Income!O39</f>
        <v>--</v>
      </c>
      <c r="F92" s="219" t="str">
        <f ca="1">+Income!P39</f>
        <v>EXPIRED</v>
      </c>
      <c r="G92" s="217" t="str">
        <f ca="1">IF(Message&lt;&gt;"","--",-Expenses!E36)</f>
        <v>--</v>
      </c>
      <c r="H92" s="218" t="str">
        <f ca="1">IF(Message&lt;&gt;"",Message,RealEstate!K34)</f>
        <v>EXPIRED</v>
      </c>
      <c r="I92" s="218" t="str">
        <f t="shared" ca="1" si="6"/>
        <v>--</v>
      </c>
      <c r="J92" s="218" t="str">
        <f t="shared" ca="1" si="7"/>
        <v>EXPIRED</v>
      </c>
      <c r="K92" s="218" t="str">
        <f ca="1">IF(Message&lt;&gt;"","--",-RealEstate!F34)</f>
        <v>--</v>
      </c>
      <c r="L92" s="217" t="str">
        <f ca="1">IF(Message&lt;&gt;"",Message,+Investments!E40)</f>
        <v>EXPIRED</v>
      </c>
      <c r="M92" s="218" t="str">
        <f ca="1">IF(Message&lt;&gt;"","--",+RealEstate!E34)</f>
        <v>--</v>
      </c>
      <c r="N92" s="218" t="str">
        <f t="shared" ca="1" si="8"/>
        <v>EXPIRED</v>
      </c>
      <c r="O92" s="220" t="str">
        <f t="shared" ca="1" si="9"/>
        <v>--</v>
      </c>
    </row>
    <row r="93" spans="1:30" x14ac:dyDescent="0.25">
      <c r="A93" s="210">
        <f t="shared" si="4"/>
        <v>30</v>
      </c>
      <c r="B93" s="211">
        <f t="shared" si="5"/>
        <v>70</v>
      </c>
      <c r="C93" s="217" t="str">
        <f ca="1">IF(Message&lt;&gt;"",Message,SUM(Income!D40:J40))</f>
        <v>EXPIRED</v>
      </c>
      <c r="D93" s="218" t="str">
        <f ca="1">IF(Message&lt;&gt;"","--",+Investments!P41)</f>
        <v>--</v>
      </c>
      <c r="E93" s="218" t="str">
        <f ca="1">+Income!O40</f>
        <v>--</v>
      </c>
      <c r="F93" s="219" t="str">
        <f ca="1">+Income!P40</f>
        <v>EXPIRED</v>
      </c>
      <c r="G93" s="217" t="str">
        <f ca="1">IF(Message&lt;&gt;"","--",-Expenses!E37)</f>
        <v>--</v>
      </c>
      <c r="H93" s="218" t="str">
        <f ca="1">IF(Message&lt;&gt;"",Message,RealEstate!K35)</f>
        <v>EXPIRED</v>
      </c>
      <c r="I93" s="218" t="str">
        <f t="shared" ca="1" si="6"/>
        <v>--</v>
      </c>
      <c r="J93" s="218" t="str">
        <f t="shared" ca="1" si="7"/>
        <v>EXPIRED</v>
      </c>
      <c r="K93" s="218" t="str">
        <f ca="1">IF(Message&lt;&gt;"","--",-RealEstate!F35)</f>
        <v>--</v>
      </c>
      <c r="L93" s="217" t="str">
        <f ca="1">IF(Message&lt;&gt;"",Message,+Investments!E41)</f>
        <v>EXPIRED</v>
      </c>
      <c r="M93" s="218" t="str">
        <f ca="1">IF(Message&lt;&gt;"","--",+RealEstate!E35)</f>
        <v>--</v>
      </c>
      <c r="N93" s="218" t="str">
        <f t="shared" ca="1" si="8"/>
        <v>EXPIRED</v>
      </c>
      <c r="O93" s="220" t="str">
        <f t="shared" ca="1" si="9"/>
        <v>--</v>
      </c>
    </row>
    <row r="94" spans="1:30" x14ac:dyDescent="0.25">
      <c r="A94" s="210">
        <f t="shared" si="4"/>
        <v>31</v>
      </c>
      <c r="B94" s="211">
        <f t="shared" si="5"/>
        <v>71</v>
      </c>
      <c r="C94" s="217" t="str">
        <f ca="1">IF(Message&lt;&gt;"",Message,SUM(Income!D41:J41))</f>
        <v>EXPIRED</v>
      </c>
      <c r="D94" s="218" t="str">
        <f ca="1">IF(Message&lt;&gt;"","--",+Investments!P42)</f>
        <v>--</v>
      </c>
      <c r="E94" s="218" t="str">
        <f ca="1">+Income!O41</f>
        <v>--</v>
      </c>
      <c r="F94" s="219" t="str">
        <f ca="1">+Income!P41</f>
        <v>EXPIRED</v>
      </c>
      <c r="G94" s="217" t="str">
        <f ca="1">IF(Message&lt;&gt;"","--",-Expenses!E38)</f>
        <v>--</v>
      </c>
      <c r="H94" s="218" t="str">
        <f ca="1">IF(Message&lt;&gt;"",Message,RealEstate!K36)</f>
        <v>EXPIRED</v>
      </c>
      <c r="I94" s="218" t="str">
        <f t="shared" ca="1" si="6"/>
        <v>--</v>
      </c>
      <c r="J94" s="218" t="str">
        <f t="shared" ca="1" si="7"/>
        <v>EXPIRED</v>
      </c>
      <c r="K94" s="218" t="str">
        <f ca="1">IF(Message&lt;&gt;"","--",-RealEstate!F36)</f>
        <v>--</v>
      </c>
      <c r="L94" s="217" t="str">
        <f ca="1">IF(Message&lt;&gt;"",Message,+Investments!E42)</f>
        <v>EXPIRED</v>
      </c>
      <c r="M94" s="218" t="str">
        <f ca="1">IF(Message&lt;&gt;"","--",+RealEstate!E36)</f>
        <v>--</v>
      </c>
      <c r="N94" s="218" t="str">
        <f t="shared" ca="1" si="8"/>
        <v>EXPIRED</v>
      </c>
      <c r="O94" s="220" t="str">
        <f t="shared" ca="1" si="9"/>
        <v>--</v>
      </c>
    </row>
    <row r="95" spans="1:30" x14ac:dyDescent="0.25">
      <c r="A95" s="210">
        <f t="shared" si="4"/>
        <v>32</v>
      </c>
      <c r="B95" s="211">
        <f t="shared" si="5"/>
        <v>72</v>
      </c>
      <c r="C95" s="217" t="str">
        <f ca="1">IF(Message&lt;&gt;"",Message,SUM(Income!D42:J42))</f>
        <v>EXPIRED</v>
      </c>
      <c r="D95" s="218" t="str">
        <f ca="1">IF(Message&lt;&gt;"","--",+Investments!P43)</f>
        <v>--</v>
      </c>
      <c r="E95" s="218" t="str">
        <f ca="1">+Income!O42</f>
        <v>--</v>
      </c>
      <c r="F95" s="219" t="str">
        <f ca="1">+Income!P42</f>
        <v>EXPIRED</v>
      </c>
      <c r="G95" s="217" t="str">
        <f ca="1">IF(Message&lt;&gt;"","--",-Expenses!E39)</f>
        <v>--</v>
      </c>
      <c r="H95" s="218" t="str">
        <f ca="1">IF(Message&lt;&gt;"",Message,RealEstate!K37)</f>
        <v>EXPIRED</v>
      </c>
      <c r="I95" s="218" t="str">
        <f t="shared" ca="1" si="6"/>
        <v>--</v>
      </c>
      <c r="J95" s="218" t="str">
        <f t="shared" ca="1" si="7"/>
        <v>EXPIRED</v>
      </c>
      <c r="K95" s="218" t="str">
        <f ca="1">IF(Message&lt;&gt;"","--",-RealEstate!F37)</f>
        <v>--</v>
      </c>
      <c r="L95" s="217" t="str">
        <f ca="1">IF(Message&lt;&gt;"",Message,+Investments!E43)</f>
        <v>EXPIRED</v>
      </c>
      <c r="M95" s="218" t="str">
        <f ca="1">IF(Message&lt;&gt;"","--",+RealEstate!E37)</f>
        <v>--</v>
      </c>
      <c r="N95" s="218" t="str">
        <f t="shared" ca="1" si="8"/>
        <v>EXPIRED</v>
      </c>
      <c r="O95" s="220" t="str">
        <f t="shared" ca="1" si="9"/>
        <v>--</v>
      </c>
    </row>
    <row r="96" spans="1:30" x14ac:dyDescent="0.25">
      <c r="A96" s="210">
        <f t="shared" ref="A96:A127" si="10">+A95+1</f>
        <v>33</v>
      </c>
      <c r="B96" s="211">
        <f t="shared" si="5"/>
        <v>73</v>
      </c>
      <c r="C96" s="217" t="str">
        <f ca="1">IF(Message&lt;&gt;"",Message,SUM(Income!D43:J43))</f>
        <v>EXPIRED</v>
      </c>
      <c r="D96" s="218" t="str">
        <f ca="1">IF(Message&lt;&gt;"","--",+Investments!P44)</f>
        <v>--</v>
      </c>
      <c r="E96" s="218" t="str">
        <f ca="1">+Income!O43</f>
        <v>--</v>
      </c>
      <c r="F96" s="219" t="str">
        <f ca="1">+Income!P43</f>
        <v>EXPIRED</v>
      </c>
      <c r="G96" s="217" t="str">
        <f ca="1">IF(Message&lt;&gt;"","--",-Expenses!E40)</f>
        <v>--</v>
      </c>
      <c r="H96" s="218" t="str">
        <f ca="1">IF(Message&lt;&gt;"",Message,RealEstate!K38)</f>
        <v>EXPIRED</v>
      </c>
      <c r="I96" s="218" t="str">
        <f t="shared" ca="1" si="6"/>
        <v>--</v>
      </c>
      <c r="J96" s="218" t="str">
        <f t="shared" ca="1" si="7"/>
        <v>EXPIRED</v>
      </c>
      <c r="K96" s="218" t="str">
        <f ca="1">IF(Message&lt;&gt;"","--",-RealEstate!F38)</f>
        <v>--</v>
      </c>
      <c r="L96" s="217" t="str">
        <f ca="1">IF(Message&lt;&gt;"",Message,+Investments!E44)</f>
        <v>EXPIRED</v>
      </c>
      <c r="M96" s="218" t="str">
        <f ca="1">IF(Message&lt;&gt;"","--",+RealEstate!E38)</f>
        <v>--</v>
      </c>
      <c r="N96" s="218" t="str">
        <f t="shared" ca="1" si="8"/>
        <v>EXPIRED</v>
      </c>
      <c r="O96" s="220" t="str">
        <f t="shared" ca="1" si="9"/>
        <v>--</v>
      </c>
    </row>
    <row r="97" spans="1:15" x14ac:dyDescent="0.25">
      <c r="A97" s="210">
        <f t="shared" si="10"/>
        <v>34</v>
      </c>
      <c r="B97" s="211">
        <f t="shared" ref="B97:B128" si="11">+B96+1</f>
        <v>74</v>
      </c>
      <c r="C97" s="217" t="str">
        <f ca="1">IF(Message&lt;&gt;"",Message,SUM(Income!D44:J44))</f>
        <v>EXPIRED</v>
      </c>
      <c r="D97" s="218" t="str">
        <f ca="1">IF(Message&lt;&gt;"","--",+Investments!P45)</f>
        <v>--</v>
      </c>
      <c r="E97" s="218" t="str">
        <f ca="1">+Income!O44</f>
        <v>--</v>
      </c>
      <c r="F97" s="219" t="str">
        <f ca="1">+Income!P44</f>
        <v>EXPIRED</v>
      </c>
      <c r="G97" s="217" t="str">
        <f ca="1">IF(Message&lt;&gt;"","--",-Expenses!E41)</f>
        <v>--</v>
      </c>
      <c r="H97" s="218" t="str">
        <f ca="1">IF(Message&lt;&gt;"",Message,RealEstate!K39)</f>
        <v>EXPIRED</v>
      </c>
      <c r="I97" s="218" t="str">
        <f t="shared" ca="1" si="6"/>
        <v>--</v>
      </c>
      <c r="J97" s="218" t="str">
        <f t="shared" ca="1" si="7"/>
        <v>EXPIRED</v>
      </c>
      <c r="K97" s="218" t="str">
        <f ca="1">IF(Message&lt;&gt;"","--",-RealEstate!F39)</f>
        <v>--</v>
      </c>
      <c r="L97" s="217" t="str">
        <f ca="1">IF(Message&lt;&gt;"",Message,+Investments!E45)</f>
        <v>EXPIRED</v>
      </c>
      <c r="M97" s="218" t="str">
        <f ca="1">IF(Message&lt;&gt;"","--",+RealEstate!E39)</f>
        <v>--</v>
      </c>
      <c r="N97" s="218" t="str">
        <f t="shared" ca="1" si="8"/>
        <v>EXPIRED</v>
      </c>
      <c r="O97" s="220" t="str">
        <f t="shared" ca="1" si="9"/>
        <v>--</v>
      </c>
    </row>
    <row r="98" spans="1:15" x14ac:dyDescent="0.25">
      <c r="A98" s="210">
        <f t="shared" si="10"/>
        <v>35</v>
      </c>
      <c r="B98" s="211">
        <f t="shared" si="11"/>
        <v>75</v>
      </c>
      <c r="C98" s="217" t="str">
        <f ca="1">IF(Message&lt;&gt;"",Message,SUM(Income!D45:J45))</f>
        <v>EXPIRED</v>
      </c>
      <c r="D98" s="218" t="str">
        <f ca="1">IF(Message&lt;&gt;"","--",+Investments!P46)</f>
        <v>--</v>
      </c>
      <c r="E98" s="218" t="str">
        <f ca="1">+Income!O45</f>
        <v>--</v>
      </c>
      <c r="F98" s="219" t="str">
        <f ca="1">+Income!P45</f>
        <v>EXPIRED</v>
      </c>
      <c r="G98" s="217" t="str">
        <f ca="1">IF(Message&lt;&gt;"","--",-Expenses!E42)</f>
        <v>--</v>
      </c>
      <c r="H98" s="218" t="str">
        <f ca="1">IF(Message&lt;&gt;"",Message,RealEstate!K40)</f>
        <v>EXPIRED</v>
      </c>
      <c r="I98" s="218" t="str">
        <f t="shared" ca="1" si="6"/>
        <v>--</v>
      </c>
      <c r="J98" s="218" t="str">
        <f t="shared" ca="1" si="7"/>
        <v>EXPIRED</v>
      </c>
      <c r="K98" s="218" t="str">
        <f ca="1">IF(Message&lt;&gt;"","--",-RealEstate!F40)</f>
        <v>--</v>
      </c>
      <c r="L98" s="217" t="str">
        <f ca="1">IF(Message&lt;&gt;"",Message,+Investments!E46)</f>
        <v>EXPIRED</v>
      </c>
      <c r="M98" s="218" t="str">
        <f ca="1">IF(Message&lt;&gt;"","--",+RealEstate!E40)</f>
        <v>--</v>
      </c>
      <c r="N98" s="218" t="str">
        <f t="shared" ca="1" si="8"/>
        <v>EXPIRED</v>
      </c>
      <c r="O98" s="220" t="str">
        <f t="shared" ca="1" si="9"/>
        <v>--</v>
      </c>
    </row>
    <row r="99" spans="1:15" x14ac:dyDescent="0.25">
      <c r="A99" s="210">
        <f t="shared" si="10"/>
        <v>36</v>
      </c>
      <c r="B99" s="211">
        <f t="shared" si="11"/>
        <v>76</v>
      </c>
      <c r="C99" s="217" t="str">
        <f ca="1">IF(Message&lt;&gt;"",Message,SUM(Income!D46:J46))</f>
        <v>EXPIRED</v>
      </c>
      <c r="D99" s="218" t="str">
        <f ca="1">IF(Message&lt;&gt;"","--",+Investments!P47)</f>
        <v>--</v>
      </c>
      <c r="E99" s="218" t="str">
        <f ca="1">+Income!O46</f>
        <v>--</v>
      </c>
      <c r="F99" s="219" t="str">
        <f ca="1">+Income!P46</f>
        <v>EXPIRED</v>
      </c>
      <c r="G99" s="217" t="str">
        <f ca="1">IF(Message&lt;&gt;"","--",-Expenses!E43)</f>
        <v>--</v>
      </c>
      <c r="H99" s="218" t="str">
        <f ca="1">IF(Message&lt;&gt;"",Message,RealEstate!K41)</f>
        <v>EXPIRED</v>
      </c>
      <c r="I99" s="218" t="str">
        <f t="shared" ca="1" si="6"/>
        <v>--</v>
      </c>
      <c r="J99" s="218" t="str">
        <f t="shared" ca="1" si="7"/>
        <v>EXPIRED</v>
      </c>
      <c r="K99" s="218" t="str">
        <f ca="1">IF(Message&lt;&gt;"","--",-RealEstate!F41)</f>
        <v>--</v>
      </c>
      <c r="L99" s="217" t="str">
        <f ca="1">IF(Message&lt;&gt;"",Message,+Investments!E47)</f>
        <v>EXPIRED</v>
      </c>
      <c r="M99" s="218" t="str">
        <f ca="1">IF(Message&lt;&gt;"","--",+RealEstate!E41)</f>
        <v>--</v>
      </c>
      <c r="N99" s="218" t="str">
        <f t="shared" ca="1" si="8"/>
        <v>EXPIRED</v>
      </c>
      <c r="O99" s="220" t="str">
        <f t="shared" ca="1" si="9"/>
        <v>--</v>
      </c>
    </row>
    <row r="100" spans="1:15" x14ac:dyDescent="0.25">
      <c r="A100" s="210">
        <f t="shared" si="10"/>
        <v>37</v>
      </c>
      <c r="B100" s="211">
        <f t="shared" si="11"/>
        <v>77</v>
      </c>
      <c r="C100" s="217" t="str">
        <f ca="1">IF(Message&lt;&gt;"",Message,SUM(Income!D47:J47))</f>
        <v>EXPIRED</v>
      </c>
      <c r="D100" s="218" t="str">
        <f ca="1">IF(Message&lt;&gt;"","--",+Investments!P48)</f>
        <v>--</v>
      </c>
      <c r="E100" s="218" t="str">
        <f ca="1">+Income!O47</f>
        <v>--</v>
      </c>
      <c r="F100" s="219" t="str">
        <f ca="1">+Income!P47</f>
        <v>EXPIRED</v>
      </c>
      <c r="G100" s="217" t="str">
        <f ca="1">IF(Message&lt;&gt;"","--",-Expenses!E44)</f>
        <v>--</v>
      </c>
      <c r="H100" s="218" t="str">
        <f ca="1">IF(Message&lt;&gt;"",Message,RealEstate!K42)</f>
        <v>EXPIRED</v>
      </c>
      <c r="I100" s="218" t="str">
        <f t="shared" ca="1" si="6"/>
        <v>--</v>
      </c>
      <c r="J100" s="218" t="str">
        <f t="shared" ca="1" si="7"/>
        <v>EXPIRED</v>
      </c>
      <c r="K100" s="218" t="str">
        <f ca="1">IF(Message&lt;&gt;"","--",-RealEstate!F42)</f>
        <v>--</v>
      </c>
      <c r="L100" s="217" t="str">
        <f ca="1">IF(Message&lt;&gt;"",Message,+Investments!E48)</f>
        <v>EXPIRED</v>
      </c>
      <c r="M100" s="218" t="str">
        <f ca="1">IF(Message&lt;&gt;"","--",+RealEstate!E42)</f>
        <v>--</v>
      </c>
      <c r="N100" s="218" t="str">
        <f t="shared" ca="1" si="8"/>
        <v>EXPIRED</v>
      </c>
      <c r="O100" s="220" t="str">
        <f t="shared" ca="1" si="9"/>
        <v>--</v>
      </c>
    </row>
    <row r="101" spans="1:15" x14ac:dyDescent="0.25">
      <c r="A101" s="210">
        <f t="shared" si="10"/>
        <v>38</v>
      </c>
      <c r="B101" s="211">
        <f t="shared" si="11"/>
        <v>78</v>
      </c>
      <c r="C101" s="217" t="str">
        <f ca="1">IF(Message&lt;&gt;"",Message,SUM(Income!D48:J48))</f>
        <v>EXPIRED</v>
      </c>
      <c r="D101" s="218" t="str">
        <f ca="1">IF(Message&lt;&gt;"","--",+Investments!P49)</f>
        <v>--</v>
      </c>
      <c r="E101" s="218" t="str">
        <f ca="1">+Income!O48</f>
        <v>--</v>
      </c>
      <c r="F101" s="219" t="str">
        <f ca="1">+Income!P48</f>
        <v>EXPIRED</v>
      </c>
      <c r="G101" s="217" t="str">
        <f ca="1">IF(Message&lt;&gt;"","--",-Expenses!E45)</f>
        <v>--</v>
      </c>
      <c r="H101" s="218" t="str">
        <f ca="1">IF(Message&lt;&gt;"",Message,RealEstate!K43)</f>
        <v>EXPIRED</v>
      </c>
      <c r="I101" s="218" t="str">
        <f t="shared" ref="I101:I132" ca="1" si="12">IF(Message&lt;&gt;"","--",+SUM(G101:H101))</f>
        <v>--</v>
      </c>
      <c r="J101" s="218" t="str">
        <f t="shared" ref="J101:J132" ca="1" si="13">IF(Message&lt;&gt;"",Message,E101+I101)</f>
        <v>EXPIRED</v>
      </c>
      <c r="K101" s="218" t="str">
        <f ca="1">IF(Message&lt;&gt;"","--",-RealEstate!F43)</f>
        <v>--</v>
      </c>
      <c r="L101" s="217" t="str">
        <f ca="1">IF(Message&lt;&gt;"",Message,+Investments!E49)</f>
        <v>EXPIRED</v>
      </c>
      <c r="M101" s="218" t="str">
        <f ca="1">IF(Message&lt;&gt;"","--",+RealEstate!E43)</f>
        <v>--</v>
      </c>
      <c r="N101" s="218" t="str">
        <f t="shared" ref="N101:N132" ca="1" si="14">IF(Message&lt;&gt;"",Message,+L101+M101)</f>
        <v>EXPIRED</v>
      </c>
      <c r="O101" s="220" t="str">
        <f t="shared" ref="O101:O132" ca="1" si="15">IF(Message&lt;&gt;"","--",+N101-N100)</f>
        <v>--</v>
      </c>
    </row>
    <row r="102" spans="1:15" x14ac:dyDescent="0.25">
      <c r="A102" s="210">
        <f t="shared" si="10"/>
        <v>39</v>
      </c>
      <c r="B102" s="211">
        <f t="shared" si="11"/>
        <v>79</v>
      </c>
      <c r="C102" s="217" t="str">
        <f ca="1">IF(Message&lt;&gt;"",Message,SUM(Income!D49:J49))</f>
        <v>EXPIRED</v>
      </c>
      <c r="D102" s="218" t="str">
        <f ca="1">IF(Message&lt;&gt;"","--",+Investments!P50)</f>
        <v>--</v>
      </c>
      <c r="E102" s="218" t="str">
        <f ca="1">+Income!O49</f>
        <v>--</v>
      </c>
      <c r="F102" s="219" t="str">
        <f ca="1">+Income!P49</f>
        <v>EXPIRED</v>
      </c>
      <c r="G102" s="217" t="str">
        <f ca="1">IF(Message&lt;&gt;"","--",-Expenses!E46)</f>
        <v>--</v>
      </c>
      <c r="H102" s="218" t="str">
        <f ca="1">IF(Message&lt;&gt;"",Message,RealEstate!K44)</f>
        <v>EXPIRED</v>
      </c>
      <c r="I102" s="218" t="str">
        <f t="shared" ca="1" si="12"/>
        <v>--</v>
      </c>
      <c r="J102" s="218" t="str">
        <f t="shared" ca="1" si="13"/>
        <v>EXPIRED</v>
      </c>
      <c r="K102" s="218" t="str">
        <f ca="1">IF(Message&lt;&gt;"","--",-RealEstate!F44)</f>
        <v>--</v>
      </c>
      <c r="L102" s="217" t="str">
        <f ca="1">IF(Message&lt;&gt;"",Message,+Investments!E50)</f>
        <v>EXPIRED</v>
      </c>
      <c r="M102" s="218" t="str">
        <f ca="1">IF(Message&lt;&gt;"","--",+RealEstate!E44)</f>
        <v>--</v>
      </c>
      <c r="N102" s="218" t="str">
        <f t="shared" ca="1" si="14"/>
        <v>EXPIRED</v>
      </c>
      <c r="O102" s="220" t="str">
        <f t="shared" ca="1" si="15"/>
        <v>--</v>
      </c>
    </row>
    <row r="103" spans="1:15" x14ac:dyDescent="0.25">
      <c r="A103" s="210">
        <f t="shared" si="10"/>
        <v>40</v>
      </c>
      <c r="B103" s="211">
        <f t="shared" si="11"/>
        <v>80</v>
      </c>
      <c r="C103" s="217" t="str">
        <f ca="1">IF(Message&lt;&gt;"",Message,SUM(Income!D50:J50))</f>
        <v>EXPIRED</v>
      </c>
      <c r="D103" s="218" t="str">
        <f ca="1">IF(Message&lt;&gt;"","--",+Investments!P51)</f>
        <v>--</v>
      </c>
      <c r="E103" s="218" t="str">
        <f ca="1">+Income!O50</f>
        <v>--</v>
      </c>
      <c r="F103" s="219" t="str">
        <f ca="1">+Income!P50</f>
        <v>EXPIRED</v>
      </c>
      <c r="G103" s="217" t="str">
        <f ca="1">IF(Message&lt;&gt;"","--",-Expenses!E47)</f>
        <v>--</v>
      </c>
      <c r="H103" s="218" t="str">
        <f ca="1">IF(Message&lt;&gt;"",Message,RealEstate!K45)</f>
        <v>EXPIRED</v>
      </c>
      <c r="I103" s="218" t="str">
        <f t="shared" ca="1" si="12"/>
        <v>--</v>
      </c>
      <c r="J103" s="218" t="str">
        <f t="shared" ca="1" si="13"/>
        <v>EXPIRED</v>
      </c>
      <c r="K103" s="218" t="str">
        <f ca="1">IF(Message&lt;&gt;"","--",-RealEstate!F45)</f>
        <v>--</v>
      </c>
      <c r="L103" s="217" t="str">
        <f ca="1">IF(Message&lt;&gt;"",Message,+Investments!E51)</f>
        <v>EXPIRED</v>
      </c>
      <c r="M103" s="218" t="str">
        <f ca="1">IF(Message&lt;&gt;"","--",+RealEstate!E45)</f>
        <v>--</v>
      </c>
      <c r="N103" s="218" t="str">
        <f t="shared" ca="1" si="14"/>
        <v>EXPIRED</v>
      </c>
      <c r="O103" s="220" t="str">
        <f t="shared" ca="1" si="15"/>
        <v>--</v>
      </c>
    </row>
    <row r="104" spans="1:15" x14ac:dyDescent="0.25">
      <c r="A104" s="210">
        <f t="shared" si="10"/>
        <v>41</v>
      </c>
      <c r="B104" s="211">
        <f t="shared" si="11"/>
        <v>81</v>
      </c>
      <c r="C104" s="217" t="str">
        <f ca="1">IF(Message&lt;&gt;"",Message,SUM(Income!D51:J51))</f>
        <v>EXPIRED</v>
      </c>
      <c r="D104" s="218" t="str">
        <f ca="1">IF(Message&lt;&gt;"","--",+Investments!P52)</f>
        <v>--</v>
      </c>
      <c r="E104" s="218" t="str">
        <f ca="1">+Income!O51</f>
        <v>--</v>
      </c>
      <c r="F104" s="219" t="str">
        <f ca="1">+Income!P51</f>
        <v>EXPIRED</v>
      </c>
      <c r="G104" s="217" t="str">
        <f ca="1">IF(Message&lt;&gt;"","--",-Expenses!E48)</f>
        <v>--</v>
      </c>
      <c r="H104" s="218" t="str">
        <f ca="1">IF(Message&lt;&gt;"",Message,RealEstate!K46)</f>
        <v>EXPIRED</v>
      </c>
      <c r="I104" s="218" t="str">
        <f t="shared" ca="1" si="12"/>
        <v>--</v>
      </c>
      <c r="J104" s="218" t="str">
        <f t="shared" ca="1" si="13"/>
        <v>EXPIRED</v>
      </c>
      <c r="K104" s="218" t="str">
        <f ca="1">IF(Message&lt;&gt;"","--",-RealEstate!F46)</f>
        <v>--</v>
      </c>
      <c r="L104" s="217" t="str">
        <f ca="1">IF(Message&lt;&gt;"",Message,+Investments!E52)</f>
        <v>EXPIRED</v>
      </c>
      <c r="M104" s="218" t="str">
        <f ca="1">IF(Message&lt;&gt;"","--",+RealEstate!E46)</f>
        <v>--</v>
      </c>
      <c r="N104" s="218" t="str">
        <f t="shared" ca="1" si="14"/>
        <v>EXPIRED</v>
      </c>
      <c r="O104" s="220" t="str">
        <f t="shared" ca="1" si="15"/>
        <v>--</v>
      </c>
    </row>
    <row r="105" spans="1:15" x14ac:dyDescent="0.25">
      <c r="A105" s="210">
        <f t="shared" si="10"/>
        <v>42</v>
      </c>
      <c r="B105" s="211">
        <f t="shared" si="11"/>
        <v>82</v>
      </c>
      <c r="C105" s="217" t="str">
        <f ca="1">IF(Message&lt;&gt;"",Message,SUM(Income!D52:J52))</f>
        <v>EXPIRED</v>
      </c>
      <c r="D105" s="218" t="str">
        <f ca="1">IF(Message&lt;&gt;"","--",+Investments!P53)</f>
        <v>--</v>
      </c>
      <c r="E105" s="218" t="str">
        <f ca="1">+Income!O52</f>
        <v>--</v>
      </c>
      <c r="F105" s="219" t="str">
        <f ca="1">+Income!P52</f>
        <v>EXPIRED</v>
      </c>
      <c r="G105" s="217" t="str">
        <f ca="1">IF(Message&lt;&gt;"","--",-Expenses!E49)</f>
        <v>--</v>
      </c>
      <c r="H105" s="218" t="str">
        <f ca="1">IF(Message&lt;&gt;"",Message,RealEstate!K47)</f>
        <v>EXPIRED</v>
      </c>
      <c r="I105" s="218" t="str">
        <f t="shared" ca="1" si="12"/>
        <v>--</v>
      </c>
      <c r="J105" s="218" t="str">
        <f t="shared" ca="1" si="13"/>
        <v>EXPIRED</v>
      </c>
      <c r="K105" s="218" t="str">
        <f ca="1">IF(Message&lt;&gt;"","--",-RealEstate!F47)</f>
        <v>--</v>
      </c>
      <c r="L105" s="217" t="str">
        <f ca="1">IF(Message&lt;&gt;"",Message,+Investments!E53)</f>
        <v>EXPIRED</v>
      </c>
      <c r="M105" s="218" t="str">
        <f ca="1">IF(Message&lt;&gt;"","--",+RealEstate!E47)</f>
        <v>--</v>
      </c>
      <c r="N105" s="218" t="str">
        <f t="shared" ca="1" si="14"/>
        <v>EXPIRED</v>
      </c>
      <c r="O105" s="220" t="str">
        <f t="shared" ca="1" si="15"/>
        <v>--</v>
      </c>
    </row>
    <row r="106" spans="1:15" x14ac:dyDescent="0.25">
      <c r="A106" s="210">
        <f t="shared" si="10"/>
        <v>43</v>
      </c>
      <c r="B106" s="211">
        <f t="shared" si="11"/>
        <v>83</v>
      </c>
      <c r="C106" s="217" t="str">
        <f ca="1">IF(Message&lt;&gt;"",Message,SUM(Income!D53:J53))</f>
        <v>EXPIRED</v>
      </c>
      <c r="D106" s="218" t="str">
        <f ca="1">IF(Message&lt;&gt;"","--",+Investments!P54)</f>
        <v>--</v>
      </c>
      <c r="E106" s="218" t="str">
        <f ca="1">+Income!O53</f>
        <v>--</v>
      </c>
      <c r="F106" s="219" t="str">
        <f ca="1">+Income!P53</f>
        <v>EXPIRED</v>
      </c>
      <c r="G106" s="217" t="str">
        <f ca="1">IF(Message&lt;&gt;"","--",-Expenses!E50)</f>
        <v>--</v>
      </c>
      <c r="H106" s="218" t="str">
        <f ca="1">IF(Message&lt;&gt;"",Message,RealEstate!K48)</f>
        <v>EXPIRED</v>
      </c>
      <c r="I106" s="218" t="str">
        <f t="shared" ca="1" si="12"/>
        <v>--</v>
      </c>
      <c r="J106" s="218" t="str">
        <f t="shared" ca="1" si="13"/>
        <v>EXPIRED</v>
      </c>
      <c r="K106" s="218" t="str">
        <f ca="1">IF(Message&lt;&gt;"","--",-RealEstate!F48)</f>
        <v>--</v>
      </c>
      <c r="L106" s="217" t="str">
        <f ca="1">IF(Message&lt;&gt;"",Message,+Investments!E54)</f>
        <v>EXPIRED</v>
      </c>
      <c r="M106" s="218" t="str">
        <f ca="1">IF(Message&lt;&gt;"","--",+RealEstate!E48)</f>
        <v>--</v>
      </c>
      <c r="N106" s="218" t="str">
        <f t="shared" ca="1" si="14"/>
        <v>EXPIRED</v>
      </c>
      <c r="O106" s="220" t="str">
        <f t="shared" ca="1" si="15"/>
        <v>--</v>
      </c>
    </row>
    <row r="107" spans="1:15" x14ac:dyDescent="0.25">
      <c r="A107" s="210">
        <f t="shared" si="10"/>
        <v>44</v>
      </c>
      <c r="B107" s="211">
        <f t="shared" si="11"/>
        <v>84</v>
      </c>
      <c r="C107" s="217" t="str">
        <f ca="1">IF(Message&lt;&gt;"",Message,SUM(Income!D54:J54))</f>
        <v>EXPIRED</v>
      </c>
      <c r="D107" s="218" t="str">
        <f ca="1">IF(Message&lt;&gt;"","--",+Investments!P55)</f>
        <v>--</v>
      </c>
      <c r="E107" s="218" t="str">
        <f ca="1">+Income!O54</f>
        <v>--</v>
      </c>
      <c r="F107" s="219" t="str">
        <f ca="1">+Income!P54</f>
        <v>EXPIRED</v>
      </c>
      <c r="G107" s="217" t="str">
        <f ca="1">IF(Message&lt;&gt;"","--",-Expenses!E51)</f>
        <v>--</v>
      </c>
      <c r="H107" s="218" t="str">
        <f ca="1">IF(Message&lt;&gt;"",Message,RealEstate!K49)</f>
        <v>EXPIRED</v>
      </c>
      <c r="I107" s="218" t="str">
        <f t="shared" ca="1" si="12"/>
        <v>--</v>
      </c>
      <c r="J107" s="218" t="str">
        <f t="shared" ca="1" si="13"/>
        <v>EXPIRED</v>
      </c>
      <c r="K107" s="218" t="str">
        <f ca="1">IF(Message&lt;&gt;"","--",-RealEstate!F49)</f>
        <v>--</v>
      </c>
      <c r="L107" s="217" t="str">
        <f ca="1">IF(Message&lt;&gt;"",Message,+Investments!E55)</f>
        <v>EXPIRED</v>
      </c>
      <c r="M107" s="218" t="str">
        <f ca="1">IF(Message&lt;&gt;"","--",+RealEstate!E49)</f>
        <v>--</v>
      </c>
      <c r="N107" s="218" t="str">
        <f t="shared" ca="1" si="14"/>
        <v>EXPIRED</v>
      </c>
      <c r="O107" s="220" t="str">
        <f t="shared" ca="1" si="15"/>
        <v>--</v>
      </c>
    </row>
    <row r="108" spans="1:15" x14ac:dyDescent="0.25">
      <c r="A108" s="210">
        <f t="shared" si="10"/>
        <v>45</v>
      </c>
      <c r="B108" s="211">
        <f t="shared" si="11"/>
        <v>85</v>
      </c>
      <c r="C108" s="217" t="str">
        <f ca="1">IF(Message&lt;&gt;"",Message,SUM(Income!D55:J55))</f>
        <v>EXPIRED</v>
      </c>
      <c r="D108" s="218" t="str">
        <f ca="1">IF(Message&lt;&gt;"","--",+Investments!P56)</f>
        <v>--</v>
      </c>
      <c r="E108" s="218" t="str">
        <f ca="1">+Income!O55</f>
        <v>--</v>
      </c>
      <c r="F108" s="219" t="str">
        <f ca="1">+Income!P55</f>
        <v>EXPIRED</v>
      </c>
      <c r="G108" s="217" t="str">
        <f ca="1">IF(Message&lt;&gt;"","--",-Expenses!E52)</f>
        <v>--</v>
      </c>
      <c r="H108" s="218" t="str">
        <f ca="1">IF(Message&lt;&gt;"",Message,RealEstate!K50)</f>
        <v>EXPIRED</v>
      </c>
      <c r="I108" s="218" t="str">
        <f t="shared" ca="1" si="12"/>
        <v>--</v>
      </c>
      <c r="J108" s="218" t="str">
        <f t="shared" ca="1" si="13"/>
        <v>EXPIRED</v>
      </c>
      <c r="K108" s="218" t="str">
        <f ca="1">IF(Message&lt;&gt;"","--",-RealEstate!F50)</f>
        <v>--</v>
      </c>
      <c r="L108" s="217" t="str">
        <f ca="1">IF(Message&lt;&gt;"",Message,+Investments!E56)</f>
        <v>EXPIRED</v>
      </c>
      <c r="M108" s="218" t="str">
        <f ca="1">IF(Message&lt;&gt;"","--",+RealEstate!E50)</f>
        <v>--</v>
      </c>
      <c r="N108" s="218" t="str">
        <f t="shared" ca="1" si="14"/>
        <v>EXPIRED</v>
      </c>
      <c r="O108" s="220" t="str">
        <f t="shared" ca="1" si="15"/>
        <v>--</v>
      </c>
    </row>
    <row r="109" spans="1:15" x14ac:dyDescent="0.25">
      <c r="A109" s="210">
        <f t="shared" si="10"/>
        <v>46</v>
      </c>
      <c r="B109" s="211">
        <f t="shared" si="11"/>
        <v>86</v>
      </c>
      <c r="C109" s="217" t="str">
        <f ca="1">IF(Message&lt;&gt;"",Message,SUM(Income!D56:J56))</f>
        <v>EXPIRED</v>
      </c>
      <c r="D109" s="218" t="str">
        <f ca="1">IF(Message&lt;&gt;"","--",+Investments!P57)</f>
        <v>--</v>
      </c>
      <c r="E109" s="218" t="str">
        <f ca="1">+Income!O56</f>
        <v>--</v>
      </c>
      <c r="F109" s="219" t="str">
        <f ca="1">+Income!P56</f>
        <v>EXPIRED</v>
      </c>
      <c r="G109" s="217" t="str">
        <f ca="1">IF(Message&lt;&gt;"","--",-Expenses!E53)</f>
        <v>--</v>
      </c>
      <c r="H109" s="218" t="str">
        <f ca="1">IF(Message&lt;&gt;"",Message,RealEstate!K51)</f>
        <v>EXPIRED</v>
      </c>
      <c r="I109" s="218" t="str">
        <f t="shared" ca="1" si="12"/>
        <v>--</v>
      </c>
      <c r="J109" s="218" t="str">
        <f t="shared" ca="1" si="13"/>
        <v>EXPIRED</v>
      </c>
      <c r="K109" s="218" t="str">
        <f ca="1">IF(Message&lt;&gt;"","--",-RealEstate!F51)</f>
        <v>--</v>
      </c>
      <c r="L109" s="217" t="str">
        <f ca="1">IF(Message&lt;&gt;"",Message,+Investments!E57)</f>
        <v>EXPIRED</v>
      </c>
      <c r="M109" s="218" t="str">
        <f ca="1">IF(Message&lt;&gt;"","--",+RealEstate!E51)</f>
        <v>--</v>
      </c>
      <c r="N109" s="218" t="str">
        <f t="shared" ca="1" si="14"/>
        <v>EXPIRED</v>
      </c>
      <c r="O109" s="220" t="str">
        <f t="shared" ca="1" si="15"/>
        <v>--</v>
      </c>
    </row>
    <row r="110" spans="1:15" x14ac:dyDescent="0.25">
      <c r="A110" s="210">
        <f t="shared" si="10"/>
        <v>47</v>
      </c>
      <c r="B110" s="211">
        <f t="shared" si="11"/>
        <v>87</v>
      </c>
      <c r="C110" s="217" t="str">
        <f ca="1">IF(Message&lt;&gt;"",Message,SUM(Income!D57:J57))</f>
        <v>EXPIRED</v>
      </c>
      <c r="D110" s="218" t="str">
        <f ca="1">IF(Message&lt;&gt;"","--",+Investments!P58)</f>
        <v>--</v>
      </c>
      <c r="E110" s="218" t="str">
        <f ca="1">+Income!O57</f>
        <v>--</v>
      </c>
      <c r="F110" s="219" t="str">
        <f ca="1">+Income!P57</f>
        <v>EXPIRED</v>
      </c>
      <c r="G110" s="217" t="str">
        <f ca="1">IF(Message&lt;&gt;"","--",-Expenses!E54)</f>
        <v>--</v>
      </c>
      <c r="H110" s="218" t="str">
        <f ca="1">IF(Message&lt;&gt;"",Message,RealEstate!K52)</f>
        <v>EXPIRED</v>
      </c>
      <c r="I110" s="218" t="str">
        <f t="shared" ca="1" si="12"/>
        <v>--</v>
      </c>
      <c r="J110" s="218" t="str">
        <f t="shared" ca="1" si="13"/>
        <v>EXPIRED</v>
      </c>
      <c r="K110" s="218" t="str">
        <f ca="1">IF(Message&lt;&gt;"","--",-RealEstate!F52)</f>
        <v>--</v>
      </c>
      <c r="L110" s="217" t="str">
        <f ca="1">IF(Message&lt;&gt;"",Message,+Investments!E58)</f>
        <v>EXPIRED</v>
      </c>
      <c r="M110" s="218" t="str">
        <f ca="1">IF(Message&lt;&gt;"","--",+RealEstate!E52)</f>
        <v>--</v>
      </c>
      <c r="N110" s="218" t="str">
        <f t="shared" ca="1" si="14"/>
        <v>EXPIRED</v>
      </c>
      <c r="O110" s="220" t="str">
        <f t="shared" ca="1" si="15"/>
        <v>--</v>
      </c>
    </row>
    <row r="111" spans="1:15" x14ac:dyDescent="0.25">
      <c r="A111" s="210">
        <f t="shared" si="10"/>
        <v>48</v>
      </c>
      <c r="B111" s="211">
        <f t="shared" si="11"/>
        <v>88</v>
      </c>
      <c r="C111" s="217" t="str">
        <f ca="1">IF(Message&lt;&gt;"",Message,SUM(Income!D58:J58))</f>
        <v>EXPIRED</v>
      </c>
      <c r="D111" s="218" t="str">
        <f ca="1">IF(Message&lt;&gt;"","--",+Investments!P59)</f>
        <v>--</v>
      </c>
      <c r="E111" s="218" t="str">
        <f ca="1">+Income!O58</f>
        <v>--</v>
      </c>
      <c r="F111" s="219" t="str">
        <f ca="1">+Income!P58</f>
        <v>EXPIRED</v>
      </c>
      <c r="G111" s="217" t="str">
        <f ca="1">IF(Message&lt;&gt;"","--",-Expenses!E55)</f>
        <v>--</v>
      </c>
      <c r="H111" s="218" t="str">
        <f ca="1">IF(Message&lt;&gt;"",Message,RealEstate!K53)</f>
        <v>EXPIRED</v>
      </c>
      <c r="I111" s="218" t="str">
        <f t="shared" ca="1" si="12"/>
        <v>--</v>
      </c>
      <c r="J111" s="218" t="str">
        <f t="shared" ca="1" si="13"/>
        <v>EXPIRED</v>
      </c>
      <c r="K111" s="218" t="str">
        <f ca="1">IF(Message&lt;&gt;"","--",-RealEstate!F53)</f>
        <v>--</v>
      </c>
      <c r="L111" s="217" t="str">
        <f ca="1">IF(Message&lt;&gt;"",Message,+Investments!E59)</f>
        <v>EXPIRED</v>
      </c>
      <c r="M111" s="218" t="str">
        <f ca="1">IF(Message&lt;&gt;"","--",+RealEstate!E53)</f>
        <v>--</v>
      </c>
      <c r="N111" s="218" t="str">
        <f t="shared" ca="1" si="14"/>
        <v>EXPIRED</v>
      </c>
      <c r="O111" s="220" t="str">
        <f t="shared" ca="1" si="15"/>
        <v>--</v>
      </c>
    </row>
    <row r="112" spans="1:15" x14ac:dyDescent="0.25">
      <c r="A112" s="210">
        <f t="shared" si="10"/>
        <v>49</v>
      </c>
      <c r="B112" s="211">
        <f t="shared" si="11"/>
        <v>89</v>
      </c>
      <c r="C112" s="217" t="str">
        <f ca="1">IF(Message&lt;&gt;"",Message,SUM(Income!D59:J59))</f>
        <v>EXPIRED</v>
      </c>
      <c r="D112" s="218" t="str">
        <f ca="1">IF(Message&lt;&gt;"","--",+Investments!P60)</f>
        <v>--</v>
      </c>
      <c r="E112" s="218" t="str">
        <f ca="1">+Income!O59</f>
        <v>--</v>
      </c>
      <c r="F112" s="219" t="str">
        <f ca="1">+Income!P59</f>
        <v>EXPIRED</v>
      </c>
      <c r="G112" s="217" t="str">
        <f ca="1">IF(Message&lt;&gt;"","--",-Expenses!E56)</f>
        <v>--</v>
      </c>
      <c r="H112" s="218" t="str">
        <f ca="1">IF(Message&lt;&gt;"",Message,RealEstate!K54)</f>
        <v>EXPIRED</v>
      </c>
      <c r="I112" s="218" t="str">
        <f t="shared" ca="1" si="12"/>
        <v>--</v>
      </c>
      <c r="J112" s="218" t="str">
        <f t="shared" ca="1" si="13"/>
        <v>EXPIRED</v>
      </c>
      <c r="K112" s="218" t="str">
        <f ca="1">IF(Message&lt;&gt;"","--",-RealEstate!F54)</f>
        <v>--</v>
      </c>
      <c r="L112" s="217" t="str">
        <f ca="1">IF(Message&lt;&gt;"",Message,+Investments!E60)</f>
        <v>EXPIRED</v>
      </c>
      <c r="M112" s="218" t="str">
        <f ca="1">IF(Message&lt;&gt;"","--",+RealEstate!E54)</f>
        <v>--</v>
      </c>
      <c r="N112" s="218" t="str">
        <f t="shared" ca="1" si="14"/>
        <v>EXPIRED</v>
      </c>
      <c r="O112" s="220" t="str">
        <f t="shared" ca="1" si="15"/>
        <v>--</v>
      </c>
    </row>
    <row r="113" spans="1:15" x14ac:dyDescent="0.25">
      <c r="A113" s="210">
        <f t="shared" si="10"/>
        <v>50</v>
      </c>
      <c r="B113" s="211">
        <f t="shared" si="11"/>
        <v>90</v>
      </c>
      <c r="C113" s="217" t="str">
        <f ca="1">IF(Message&lt;&gt;"",Message,SUM(Income!D60:J60))</f>
        <v>EXPIRED</v>
      </c>
      <c r="D113" s="218" t="str">
        <f ca="1">IF(Message&lt;&gt;"","--",+Investments!P61)</f>
        <v>--</v>
      </c>
      <c r="E113" s="218" t="str">
        <f ca="1">+Income!O60</f>
        <v>--</v>
      </c>
      <c r="F113" s="219" t="str">
        <f ca="1">+Income!P60</f>
        <v>EXPIRED</v>
      </c>
      <c r="G113" s="217" t="str">
        <f ca="1">IF(Message&lt;&gt;"","--",-Expenses!E57)</f>
        <v>--</v>
      </c>
      <c r="H113" s="218" t="str">
        <f ca="1">IF(Message&lt;&gt;"",Message,RealEstate!K55)</f>
        <v>EXPIRED</v>
      </c>
      <c r="I113" s="218" t="str">
        <f t="shared" ca="1" si="12"/>
        <v>--</v>
      </c>
      <c r="J113" s="218" t="str">
        <f t="shared" ca="1" si="13"/>
        <v>EXPIRED</v>
      </c>
      <c r="K113" s="218" t="str">
        <f ca="1">IF(Message&lt;&gt;"","--",-RealEstate!F55)</f>
        <v>--</v>
      </c>
      <c r="L113" s="217" t="str">
        <f ca="1">IF(Message&lt;&gt;"",Message,+Investments!E61)</f>
        <v>EXPIRED</v>
      </c>
      <c r="M113" s="218" t="str">
        <f ca="1">IF(Message&lt;&gt;"","--",+RealEstate!E55)</f>
        <v>--</v>
      </c>
      <c r="N113" s="218" t="str">
        <f t="shared" ca="1" si="14"/>
        <v>EXPIRED</v>
      </c>
      <c r="O113" s="220" t="str">
        <f t="shared" ca="1" si="15"/>
        <v>--</v>
      </c>
    </row>
    <row r="114" spans="1:15" x14ac:dyDescent="0.25">
      <c r="A114" s="210">
        <f t="shared" si="10"/>
        <v>51</v>
      </c>
      <c r="B114" s="211">
        <f t="shared" si="11"/>
        <v>91</v>
      </c>
      <c r="C114" s="217" t="str">
        <f ca="1">IF(Message&lt;&gt;"",Message,SUM(Income!D61:J61))</f>
        <v>EXPIRED</v>
      </c>
      <c r="D114" s="218" t="str">
        <f ca="1">IF(Message&lt;&gt;"","--",+Investments!P62)</f>
        <v>--</v>
      </c>
      <c r="E114" s="218" t="str">
        <f ca="1">+Income!O61</f>
        <v>--</v>
      </c>
      <c r="F114" s="219" t="str">
        <f ca="1">+Income!P61</f>
        <v>EXPIRED</v>
      </c>
      <c r="G114" s="217" t="str">
        <f ca="1">IF(Message&lt;&gt;"","--",-Expenses!E58)</f>
        <v>--</v>
      </c>
      <c r="H114" s="218" t="str">
        <f ca="1">IF(Message&lt;&gt;"",Message,RealEstate!K56)</f>
        <v>EXPIRED</v>
      </c>
      <c r="I114" s="218" t="str">
        <f t="shared" ca="1" si="12"/>
        <v>--</v>
      </c>
      <c r="J114" s="218" t="str">
        <f t="shared" ca="1" si="13"/>
        <v>EXPIRED</v>
      </c>
      <c r="K114" s="218" t="str">
        <f ca="1">IF(Message&lt;&gt;"","--",-RealEstate!F56)</f>
        <v>--</v>
      </c>
      <c r="L114" s="217" t="str">
        <f ca="1">IF(Message&lt;&gt;"",Message,+Investments!E62)</f>
        <v>EXPIRED</v>
      </c>
      <c r="M114" s="218" t="str">
        <f ca="1">IF(Message&lt;&gt;"","--",+RealEstate!E56)</f>
        <v>--</v>
      </c>
      <c r="N114" s="218" t="str">
        <f t="shared" ca="1" si="14"/>
        <v>EXPIRED</v>
      </c>
      <c r="O114" s="220" t="str">
        <f t="shared" ca="1" si="15"/>
        <v>--</v>
      </c>
    </row>
    <row r="115" spans="1:15" x14ac:dyDescent="0.25">
      <c r="A115" s="210">
        <f t="shared" si="10"/>
        <v>52</v>
      </c>
      <c r="B115" s="211">
        <f t="shared" si="11"/>
        <v>92</v>
      </c>
      <c r="C115" s="217" t="str">
        <f ca="1">IF(Message&lt;&gt;"",Message,SUM(Income!D62:J62))</f>
        <v>EXPIRED</v>
      </c>
      <c r="D115" s="218" t="str">
        <f ca="1">IF(Message&lt;&gt;"","--",+Investments!P63)</f>
        <v>--</v>
      </c>
      <c r="E115" s="218" t="str">
        <f ca="1">+Income!O62</f>
        <v>--</v>
      </c>
      <c r="F115" s="219" t="str">
        <f ca="1">+Income!P62</f>
        <v>EXPIRED</v>
      </c>
      <c r="G115" s="217" t="str">
        <f ca="1">IF(Message&lt;&gt;"","--",-Expenses!E59)</f>
        <v>--</v>
      </c>
      <c r="H115" s="218" t="str">
        <f ca="1">IF(Message&lt;&gt;"",Message,RealEstate!K57)</f>
        <v>EXPIRED</v>
      </c>
      <c r="I115" s="218" t="str">
        <f t="shared" ca="1" si="12"/>
        <v>--</v>
      </c>
      <c r="J115" s="218" t="str">
        <f t="shared" ca="1" si="13"/>
        <v>EXPIRED</v>
      </c>
      <c r="K115" s="218" t="str">
        <f ca="1">IF(Message&lt;&gt;"","--",-RealEstate!F57)</f>
        <v>--</v>
      </c>
      <c r="L115" s="217" t="str">
        <f ca="1">IF(Message&lt;&gt;"",Message,+Investments!E63)</f>
        <v>EXPIRED</v>
      </c>
      <c r="M115" s="218" t="str">
        <f ca="1">IF(Message&lt;&gt;"","--",+RealEstate!E57)</f>
        <v>--</v>
      </c>
      <c r="N115" s="218" t="str">
        <f t="shared" ca="1" si="14"/>
        <v>EXPIRED</v>
      </c>
      <c r="O115" s="220" t="str">
        <f t="shared" ca="1" si="15"/>
        <v>--</v>
      </c>
    </row>
    <row r="116" spans="1:15" x14ac:dyDescent="0.25">
      <c r="A116" s="210">
        <f t="shared" si="10"/>
        <v>53</v>
      </c>
      <c r="B116" s="211">
        <f t="shared" si="11"/>
        <v>93</v>
      </c>
      <c r="C116" s="217" t="str">
        <f ca="1">IF(Message&lt;&gt;"",Message,SUM(Income!D63:J63))</f>
        <v>EXPIRED</v>
      </c>
      <c r="D116" s="218" t="str">
        <f ca="1">IF(Message&lt;&gt;"","--",+Investments!P64)</f>
        <v>--</v>
      </c>
      <c r="E116" s="218" t="str">
        <f ca="1">+Income!O63</f>
        <v>--</v>
      </c>
      <c r="F116" s="219" t="str">
        <f ca="1">+Income!P63</f>
        <v>EXPIRED</v>
      </c>
      <c r="G116" s="217" t="str">
        <f ca="1">IF(Message&lt;&gt;"","--",-Expenses!E60)</f>
        <v>--</v>
      </c>
      <c r="H116" s="218" t="str">
        <f ca="1">IF(Message&lt;&gt;"",Message,RealEstate!K58)</f>
        <v>EXPIRED</v>
      </c>
      <c r="I116" s="218" t="str">
        <f t="shared" ca="1" si="12"/>
        <v>--</v>
      </c>
      <c r="J116" s="218" t="str">
        <f t="shared" ca="1" si="13"/>
        <v>EXPIRED</v>
      </c>
      <c r="K116" s="218" t="str">
        <f ca="1">IF(Message&lt;&gt;"","--",-RealEstate!F58)</f>
        <v>--</v>
      </c>
      <c r="L116" s="217" t="str">
        <f ca="1">IF(Message&lt;&gt;"",Message,+Investments!E64)</f>
        <v>EXPIRED</v>
      </c>
      <c r="M116" s="218" t="str">
        <f ca="1">IF(Message&lt;&gt;"","--",+RealEstate!E58)</f>
        <v>--</v>
      </c>
      <c r="N116" s="218" t="str">
        <f t="shared" ca="1" si="14"/>
        <v>EXPIRED</v>
      </c>
      <c r="O116" s="220" t="str">
        <f t="shared" ca="1" si="15"/>
        <v>--</v>
      </c>
    </row>
    <row r="117" spans="1:15" x14ac:dyDescent="0.25">
      <c r="A117" s="210">
        <f t="shared" si="10"/>
        <v>54</v>
      </c>
      <c r="B117" s="211">
        <f t="shared" si="11"/>
        <v>94</v>
      </c>
      <c r="C117" s="217" t="str">
        <f ca="1">IF(Message&lt;&gt;"",Message,SUM(Income!D64:J64))</f>
        <v>EXPIRED</v>
      </c>
      <c r="D117" s="218" t="str">
        <f ca="1">IF(Message&lt;&gt;"","--",+Investments!P65)</f>
        <v>--</v>
      </c>
      <c r="E117" s="218" t="str">
        <f ca="1">+Income!O64</f>
        <v>--</v>
      </c>
      <c r="F117" s="219" t="str">
        <f ca="1">+Income!P64</f>
        <v>EXPIRED</v>
      </c>
      <c r="G117" s="217" t="str">
        <f ca="1">IF(Message&lt;&gt;"","--",-Expenses!E61)</f>
        <v>--</v>
      </c>
      <c r="H117" s="218" t="str">
        <f ca="1">IF(Message&lt;&gt;"",Message,RealEstate!K59)</f>
        <v>EXPIRED</v>
      </c>
      <c r="I117" s="218" t="str">
        <f t="shared" ca="1" si="12"/>
        <v>--</v>
      </c>
      <c r="J117" s="218" t="str">
        <f t="shared" ca="1" si="13"/>
        <v>EXPIRED</v>
      </c>
      <c r="K117" s="218" t="str">
        <f ca="1">IF(Message&lt;&gt;"","--",-RealEstate!F59)</f>
        <v>--</v>
      </c>
      <c r="L117" s="217" t="str">
        <f ca="1">IF(Message&lt;&gt;"",Message,+Investments!E65)</f>
        <v>EXPIRED</v>
      </c>
      <c r="M117" s="218" t="str">
        <f ca="1">IF(Message&lt;&gt;"","--",+RealEstate!E59)</f>
        <v>--</v>
      </c>
      <c r="N117" s="218" t="str">
        <f t="shared" ca="1" si="14"/>
        <v>EXPIRED</v>
      </c>
      <c r="O117" s="220" t="str">
        <f t="shared" ca="1" si="15"/>
        <v>--</v>
      </c>
    </row>
    <row r="118" spans="1:15" x14ac:dyDescent="0.25">
      <c r="A118" s="210">
        <f t="shared" si="10"/>
        <v>55</v>
      </c>
      <c r="B118" s="211">
        <f t="shared" si="11"/>
        <v>95</v>
      </c>
      <c r="C118" s="217" t="str">
        <f ca="1">IF(Message&lt;&gt;"",Message,SUM(Income!D65:J65))</f>
        <v>EXPIRED</v>
      </c>
      <c r="D118" s="218" t="str">
        <f ca="1">IF(Message&lt;&gt;"","--",+Investments!P66)</f>
        <v>--</v>
      </c>
      <c r="E118" s="218" t="str">
        <f ca="1">+Income!O65</f>
        <v>--</v>
      </c>
      <c r="F118" s="219" t="str">
        <f ca="1">+Income!P65</f>
        <v>EXPIRED</v>
      </c>
      <c r="G118" s="217" t="str">
        <f ca="1">IF(Message&lt;&gt;"","--",-Expenses!E62)</f>
        <v>--</v>
      </c>
      <c r="H118" s="218" t="str">
        <f ca="1">IF(Message&lt;&gt;"",Message,RealEstate!K60)</f>
        <v>EXPIRED</v>
      </c>
      <c r="I118" s="218" t="str">
        <f t="shared" ca="1" si="12"/>
        <v>--</v>
      </c>
      <c r="J118" s="218" t="str">
        <f t="shared" ca="1" si="13"/>
        <v>EXPIRED</v>
      </c>
      <c r="K118" s="218" t="str">
        <f ca="1">IF(Message&lt;&gt;"","--",-RealEstate!F60)</f>
        <v>--</v>
      </c>
      <c r="L118" s="217" t="str">
        <f ca="1">IF(Message&lt;&gt;"",Message,+Investments!E66)</f>
        <v>EXPIRED</v>
      </c>
      <c r="M118" s="218" t="str">
        <f ca="1">IF(Message&lt;&gt;"","--",+RealEstate!E60)</f>
        <v>--</v>
      </c>
      <c r="N118" s="218" t="str">
        <f t="shared" ca="1" si="14"/>
        <v>EXPIRED</v>
      </c>
      <c r="O118" s="220" t="str">
        <f t="shared" ca="1" si="15"/>
        <v>--</v>
      </c>
    </row>
    <row r="119" spans="1:15" x14ac:dyDescent="0.25">
      <c r="A119" s="210">
        <f t="shared" si="10"/>
        <v>56</v>
      </c>
      <c r="B119" s="211">
        <f t="shared" si="11"/>
        <v>96</v>
      </c>
      <c r="C119" s="217" t="str">
        <f ca="1">IF(Message&lt;&gt;"",Message,SUM(Income!D66:J66))</f>
        <v>EXPIRED</v>
      </c>
      <c r="D119" s="218" t="str">
        <f ca="1">IF(Message&lt;&gt;"","--",+Investments!P67)</f>
        <v>--</v>
      </c>
      <c r="E119" s="218" t="str">
        <f ca="1">+Income!O66</f>
        <v>--</v>
      </c>
      <c r="F119" s="219" t="str">
        <f ca="1">+Income!P66</f>
        <v>EXPIRED</v>
      </c>
      <c r="G119" s="217" t="str">
        <f ca="1">IF(Message&lt;&gt;"","--",-Expenses!E63)</f>
        <v>--</v>
      </c>
      <c r="H119" s="218" t="str">
        <f ca="1">IF(Message&lt;&gt;"",Message,RealEstate!K61)</f>
        <v>EXPIRED</v>
      </c>
      <c r="I119" s="218" t="str">
        <f t="shared" ca="1" si="12"/>
        <v>--</v>
      </c>
      <c r="J119" s="218" t="str">
        <f t="shared" ca="1" si="13"/>
        <v>EXPIRED</v>
      </c>
      <c r="K119" s="218" t="str">
        <f ca="1">IF(Message&lt;&gt;"","--",-RealEstate!F61)</f>
        <v>--</v>
      </c>
      <c r="L119" s="217" t="str">
        <f ca="1">IF(Message&lt;&gt;"",Message,+Investments!E67)</f>
        <v>EXPIRED</v>
      </c>
      <c r="M119" s="218" t="str">
        <f ca="1">IF(Message&lt;&gt;"","--",+RealEstate!E61)</f>
        <v>--</v>
      </c>
      <c r="N119" s="218" t="str">
        <f t="shared" ca="1" si="14"/>
        <v>EXPIRED</v>
      </c>
      <c r="O119" s="220" t="str">
        <f t="shared" ca="1" si="15"/>
        <v>--</v>
      </c>
    </row>
    <row r="120" spans="1:15" x14ac:dyDescent="0.25">
      <c r="A120" s="210">
        <f t="shared" si="10"/>
        <v>57</v>
      </c>
      <c r="B120" s="211">
        <f t="shared" si="11"/>
        <v>97</v>
      </c>
      <c r="C120" s="217" t="str">
        <f ca="1">IF(Message&lt;&gt;"",Message,SUM(Income!D67:J67))</f>
        <v>EXPIRED</v>
      </c>
      <c r="D120" s="218" t="str">
        <f ca="1">IF(Message&lt;&gt;"","--",+Investments!P68)</f>
        <v>--</v>
      </c>
      <c r="E120" s="218" t="str">
        <f ca="1">+Income!O67</f>
        <v>--</v>
      </c>
      <c r="F120" s="219" t="str">
        <f ca="1">+Income!P67</f>
        <v>EXPIRED</v>
      </c>
      <c r="G120" s="217" t="str">
        <f ca="1">IF(Message&lt;&gt;"","--",-Expenses!E64)</f>
        <v>--</v>
      </c>
      <c r="H120" s="218" t="str">
        <f ca="1">IF(Message&lt;&gt;"",Message,RealEstate!K62)</f>
        <v>EXPIRED</v>
      </c>
      <c r="I120" s="218" t="str">
        <f t="shared" ca="1" si="12"/>
        <v>--</v>
      </c>
      <c r="J120" s="218" t="str">
        <f t="shared" ca="1" si="13"/>
        <v>EXPIRED</v>
      </c>
      <c r="K120" s="218" t="str">
        <f ca="1">IF(Message&lt;&gt;"","--",-RealEstate!F62)</f>
        <v>--</v>
      </c>
      <c r="L120" s="217" t="str">
        <f ca="1">IF(Message&lt;&gt;"",Message,+Investments!E68)</f>
        <v>EXPIRED</v>
      </c>
      <c r="M120" s="218" t="str">
        <f ca="1">IF(Message&lt;&gt;"","--",+RealEstate!E62)</f>
        <v>--</v>
      </c>
      <c r="N120" s="218" t="str">
        <f t="shared" ca="1" si="14"/>
        <v>EXPIRED</v>
      </c>
      <c r="O120" s="220" t="str">
        <f t="shared" ca="1" si="15"/>
        <v>--</v>
      </c>
    </row>
    <row r="121" spans="1:15" x14ac:dyDescent="0.25">
      <c r="A121" s="210">
        <f t="shared" si="10"/>
        <v>58</v>
      </c>
      <c r="B121" s="211">
        <f t="shared" si="11"/>
        <v>98</v>
      </c>
      <c r="C121" s="217" t="str">
        <f ca="1">IF(Message&lt;&gt;"",Message,SUM(Income!D68:J68))</f>
        <v>EXPIRED</v>
      </c>
      <c r="D121" s="218" t="str">
        <f ca="1">IF(Message&lt;&gt;"","--",+Investments!P69)</f>
        <v>--</v>
      </c>
      <c r="E121" s="218" t="str">
        <f ca="1">+Income!O68</f>
        <v>--</v>
      </c>
      <c r="F121" s="219" t="str">
        <f ca="1">+Income!P68</f>
        <v>EXPIRED</v>
      </c>
      <c r="G121" s="217" t="str">
        <f ca="1">IF(Message&lt;&gt;"","--",-Expenses!E65)</f>
        <v>--</v>
      </c>
      <c r="H121" s="218" t="str">
        <f ca="1">IF(Message&lt;&gt;"",Message,RealEstate!K63)</f>
        <v>EXPIRED</v>
      </c>
      <c r="I121" s="218" t="str">
        <f t="shared" ca="1" si="12"/>
        <v>--</v>
      </c>
      <c r="J121" s="218" t="str">
        <f t="shared" ca="1" si="13"/>
        <v>EXPIRED</v>
      </c>
      <c r="K121" s="218" t="str">
        <f ca="1">IF(Message&lt;&gt;"","--",-RealEstate!F63)</f>
        <v>--</v>
      </c>
      <c r="L121" s="217" t="str">
        <f ca="1">IF(Message&lt;&gt;"",Message,+Investments!E69)</f>
        <v>EXPIRED</v>
      </c>
      <c r="M121" s="218" t="str">
        <f ca="1">IF(Message&lt;&gt;"","--",+RealEstate!E63)</f>
        <v>--</v>
      </c>
      <c r="N121" s="218" t="str">
        <f t="shared" ca="1" si="14"/>
        <v>EXPIRED</v>
      </c>
      <c r="O121" s="220" t="str">
        <f t="shared" ca="1" si="15"/>
        <v>--</v>
      </c>
    </row>
    <row r="122" spans="1:15" x14ac:dyDescent="0.25">
      <c r="A122" s="210">
        <f t="shared" si="10"/>
        <v>59</v>
      </c>
      <c r="B122" s="211">
        <f t="shared" si="11"/>
        <v>99</v>
      </c>
      <c r="C122" s="217" t="str">
        <f ca="1">IF(Message&lt;&gt;"",Message,SUM(Income!D69:J69))</f>
        <v>EXPIRED</v>
      </c>
      <c r="D122" s="218" t="str">
        <f ca="1">IF(Message&lt;&gt;"","--",+Investments!P70)</f>
        <v>--</v>
      </c>
      <c r="E122" s="218" t="str">
        <f ca="1">+Income!O69</f>
        <v>--</v>
      </c>
      <c r="F122" s="219" t="str">
        <f ca="1">+Income!P69</f>
        <v>EXPIRED</v>
      </c>
      <c r="G122" s="217" t="str">
        <f ca="1">IF(Message&lt;&gt;"","--",-Expenses!E66)</f>
        <v>--</v>
      </c>
      <c r="H122" s="218" t="str">
        <f ca="1">IF(Message&lt;&gt;"",Message,RealEstate!K64)</f>
        <v>EXPIRED</v>
      </c>
      <c r="I122" s="218" t="str">
        <f t="shared" ca="1" si="12"/>
        <v>--</v>
      </c>
      <c r="J122" s="218" t="str">
        <f t="shared" ca="1" si="13"/>
        <v>EXPIRED</v>
      </c>
      <c r="K122" s="218" t="str">
        <f ca="1">IF(Message&lt;&gt;"","--",-RealEstate!F64)</f>
        <v>--</v>
      </c>
      <c r="L122" s="217" t="str">
        <f ca="1">IF(Message&lt;&gt;"",Message,+Investments!E70)</f>
        <v>EXPIRED</v>
      </c>
      <c r="M122" s="218" t="str">
        <f ca="1">IF(Message&lt;&gt;"","--",+RealEstate!E64)</f>
        <v>--</v>
      </c>
      <c r="N122" s="218" t="str">
        <f t="shared" ca="1" si="14"/>
        <v>EXPIRED</v>
      </c>
      <c r="O122" s="220" t="str">
        <f t="shared" ca="1" si="15"/>
        <v>--</v>
      </c>
    </row>
    <row r="123" spans="1:15" x14ac:dyDescent="0.25">
      <c r="A123" s="210">
        <f t="shared" si="10"/>
        <v>60</v>
      </c>
      <c r="B123" s="211">
        <f t="shared" si="11"/>
        <v>100</v>
      </c>
      <c r="C123" s="217" t="str">
        <f ca="1">IF(Message&lt;&gt;"",Message,SUM(Income!D70:J70))</f>
        <v>EXPIRED</v>
      </c>
      <c r="D123" s="218" t="str">
        <f ca="1">IF(Message&lt;&gt;"","--",+Investments!P71)</f>
        <v>--</v>
      </c>
      <c r="E123" s="218" t="str">
        <f ca="1">+Income!O70</f>
        <v>--</v>
      </c>
      <c r="F123" s="219" t="str">
        <f ca="1">+Income!P70</f>
        <v>EXPIRED</v>
      </c>
      <c r="G123" s="217" t="str">
        <f ca="1">IF(Message&lt;&gt;"","--",-Expenses!E67)</f>
        <v>--</v>
      </c>
      <c r="H123" s="218" t="str">
        <f ca="1">IF(Message&lt;&gt;"",Message,RealEstate!K65)</f>
        <v>EXPIRED</v>
      </c>
      <c r="I123" s="218" t="str">
        <f t="shared" ca="1" si="12"/>
        <v>--</v>
      </c>
      <c r="J123" s="218" t="str">
        <f t="shared" ca="1" si="13"/>
        <v>EXPIRED</v>
      </c>
      <c r="K123" s="218" t="str">
        <f ca="1">IF(Message&lt;&gt;"","--",-RealEstate!F65)</f>
        <v>--</v>
      </c>
      <c r="L123" s="217" t="str">
        <f ca="1">IF(Message&lt;&gt;"",Message,+Investments!E71)</f>
        <v>EXPIRED</v>
      </c>
      <c r="M123" s="218" t="str">
        <f ca="1">IF(Message&lt;&gt;"","--",+RealEstate!E65)</f>
        <v>--</v>
      </c>
      <c r="N123" s="218" t="str">
        <f t="shared" ca="1" si="14"/>
        <v>EXPIRED</v>
      </c>
      <c r="O123" s="220" t="str">
        <f t="shared" ca="1" si="15"/>
        <v>--</v>
      </c>
    </row>
    <row r="124" spans="1:15" x14ac:dyDescent="0.25">
      <c r="A124" s="210">
        <f t="shared" si="10"/>
        <v>61</v>
      </c>
      <c r="B124" s="211">
        <f t="shared" si="11"/>
        <v>101</v>
      </c>
      <c r="C124" s="217" t="str">
        <f ca="1">IF(Message&lt;&gt;"",Message,SUM(Income!D71:J71))</f>
        <v>EXPIRED</v>
      </c>
      <c r="D124" s="218" t="str">
        <f ca="1">IF(Message&lt;&gt;"","--",+Investments!P72)</f>
        <v>--</v>
      </c>
      <c r="E124" s="218" t="str">
        <f ca="1">+Income!O71</f>
        <v>--</v>
      </c>
      <c r="F124" s="219" t="str">
        <f ca="1">+Income!P71</f>
        <v>EXPIRED</v>
      </c>
      <c r="G124" s="217" t="str">
        <f ca="1">IF(Message&lt;&gt;"","--",-Expenses!E68)</f>
        <v>--</v>
      </c>
      <c r="H124" s="218" t="str">
        <f ca="1">IF(Message&lt;&gt;"",Message,RealEstate!K66)</f>
        <v>EXPIRED</v>
      </c>
      <c r="I124" s="218" t="str">
        <f t="shared" ca="1" si="12"/>
        <v>--</v>
      </c>
      <c r="J124" s="218" t="str">
        <f t="shared" ca="1" si="13"/>
        <v>EXPIRED</v>
      </c>
      <c r="K124" s="218" t="str">
        <f ca="1">IF(Message&lt;&gt;"","--",-RealEstate!F66)</f>
        <v>--</v>
      </c>
      <c r="L124" s="217" t="str">
        <f ca="1">IF(Message&lt;&gt;"",Message,+Investments!E72)</f>
        <v>EXPIRED</v>
      </c>
      <c r="M124" s="218" t="str">
        <f ca="1">IF(Message&lt;&gt;"","--",+RealEstate!E66)</f>
        <v>--</v>
      </c>
      <c r="N124" s="218" t="str">
        <f t="shared" ca="1" si="14"/>
        <v>EXPIRED</v>
      </c>
      <c r="O124" s="220" t="str">
        <f t="shared" ca="1" si="15"/>
        <v>--</v>
      </c>
    </row>
    <row r="125" spans="1:15" x14ac:dyDescent="0.25">
      <c r="A125" s="210">
        <f t="shared" si="10"/>
        <v>62</v>
      </c>
      <c r="B125" s="211">
        <f t="shared" si="11"/>
        <v>102</v>
      </c>
      <c r="C125" s="217" t="str">
        <f ca="1">IF(Message&lt;&gt;"",Message,SUM(Income!D72:J72))</f>
        <v>EXPIRED</v>
      </c>
      <c r="D125" s="218" t="str">
        <f ca="1">IF(Message&lt;&gt;"","--",+Investments!P73)</f>
        <v>--</v>
      </c>
      <c r="E125" s="218" t="str">
        <f ca="1">+Income!O72</f>
        <v>--</v>
      </c>
      <c r="F125" s="219" t="str">
        <f ca="1">+Income!P72</f>
        <v>EXPIRED</v>
      </c>
      <c r="G125" s="217" t="str">
        <f ca="1">IF(Message&lt;&gt;"","--",-Expenses!E69)</f>
        <v>--</v>
      </c>
      <c r="H125" s="218" t="str">
        <f ca="1">IF(Message&lt;&gt;"",Message,RealEstate!K67)</f>
        <v>EXPIRED</v>
      </c>
      <c r="I125" s="218" t="str">
        <f t="shared" ca="1" si="12"/>
        <v>--</v>
      </c>
      <c r="J125" s="218" t="str">
        <f t="shared" ca="1" si="13"/>
        <v>EXPIRED</v>
      </c>
      <c r="K125" s="218" t="str">
        <f ca="1">IF(Message&lt;&gt;"","--",-RealEstate!F67)</f>
        <v>--</v>
      </c>
      <c r="L125" s="217" t="str">
        <f ca="1">IF(Message&lt;&gt;"",Message,+Investments!E73)</f>
        <v>EXPIRED</v>
      </c>
      <c r="M125" s="218" t="str">
        <f ca="1">IF(Message&lt;&gt;"","--",+RealEstate!E67)</f>
        <v>--</v>
      </c>
      <c r="N125" s="218" t="str">
        <f t="shared" ca="1" si="14"/>
        <v>EXPIRED</v>
      </c>
      <c r="O125" s="220" t="str">
        <f t="shared" ca="1" si="15"/>
        <v>--</v>
      </c>
    </row>
    <row r="126" spans="1:15" x14ac:dyDescent="0.25">
      <c r="A126" s="210">
        <f t="shared" si="10"/>
        <v>63</v>
      </c>
      <c r="B126" s="211">
        <f t="shared" si="11"/>
        <v>103</v>
      </c>
      <c r="C126" s="217" t="str">
        <f ca="1">IF(Message&lt;&gt;"",Message,SUM(Income!D73:J73))</f>
        <v>EXPIRED</v>
      </c>
      <c r="D126" s="218" t="str">
        <f ca="1">IF(Message&lt;&gt;"","--",+Investments!P74)</f>
        <v>--</v>
      </c>
      <c r="E126" s="218" t="str">
        <f ca="1">+Income!O73</f>
        <v>--</v>
      </c>
      <c r="F126" s="219" t="str">
        <f ca="1">+Income!P73</f>
        <v>EXPIRED</v>
      </c>
      <c r="G126" s="217" t="str">
        <f ca="1">IF(Message&lt;&gt;"","--",-Expenses!E70)</f>
        <v>--</v>
      </c>
      <c r="H126" s="218" t="str">
        <f ca="1">IF(Message&lt;&gt;"",Message,RealEstate!K68)</f>
        <v>EXPIRED</v>
      </c>
      <c r="I126" s="218" t="str">
        <f t="shared" ca="1" si="12"/>
        <v>--</v>
      </c>
      <c r="J126" s="218" t="str">
        <f t="shared" ca="1" si="13"/>
        <v>EXPIRED</v>
      </c>
      <c r="K126" s="218" t="str">
        <f ca="1">IF(Message&lt;&gt;"","--",-RealEstate!F68)</f>
        <v>--</v>
      </c>
      <c r="L126" s="217" t="str">
        <f ca="1">IF(Message&lt;&gt;"",Message,+Investments!E74)</f>
        <v>EXPIRED</v>
      </c>
      <c r="M126" s="218" t="str">
        <f ca="1">IF(Message&lt;&gt;"","--",+RealEstate!E68)</f>
        <v>--</v>
      </c>
      <c r="N126" s="218" t="str">
        <f t="shared" ca="1" si="14"/>
        <v>EXPIRED</v>
      </c>
      <c r="O126" s="220" t="str">
        <f t="shared" ca="1" si="15"/>
        <v>--</v>
      </c>
    </row>
    <row r="127" spans="1:15" x14ac:dyDescent="0.25">
      <c r="A127" s="210">
        <f t="shared" si="10"/>
        <v>64</v>
      </c>
      <c r="B127" s="211">
        <f t="shared" si="11"/>
        <v>104</v>
      </c>
      <c r="C127" s="217" t="str">
        <f ca="1">IF(Message&lt;&gt;"",Message,SUM(Income!D74:J74))</f>
        <v>EXPIRED</v>
      </c>
      <c r="D127" s="218" t="str">
        <f ca="1">IF(Message&lt;&gt;"","--",+Investments!P75)</f>
        <v>--</v>
      </c>
      <c r="E127" s="218" t="str">
        <f ca="1">+Income!O74</f>
        <v>--</v>
      </c>
      <c r="F127" s="219" t="str">
        <f ca="1">+Income!P74</f>
        <v>EXPIRED</v>
      </c>
      <c r="G127" s="217" t="str">
        <f ca="1">IF(Message&lt;&gt;"","--",-Expenses!E71)</f>
        <v>--</v>
      </c>
      <c r="H127" s="218" t="str">
        <f ca="1">IF(Message&lt;&gt;"",Message,RealEstate!K69)</f>
        <v>EXPIRED</v>
      </c>
      <c r="I127" s="218" t="str">
        <f t="shared" ca="1" si="12"/>
        <v>--</v>
      </c>
      <c r="J127" s="218" t="str">
        <f t="shared" ca="1" si="13"/>
        <v>EXPIRED</v>
      </c>
      <c r="K127" s="218" t="str">
        <f ca="1">IF(Message&lt;&gt;"","--",-RealEstate!F69)</f>
        <v>--</v>
      </c>
      <c r="L127" s="217" t="str">
        <f ca="1">IF(Message&lt;&gt;"",Message,+Investments!E75)</f>
        <v>EXPIRED</v>
      </c>
      <c r="M127" s="218" t="str">
        <f ca="1">IF(Message&lt;&gt;"","--",+RealEstate!E69)</f>
        <v>--</v>
      </c>
      <c r="N127" s="218" t="str">
        <f t="shared" ca="1" si="14"/>
        <v>EXPIRED</v>
      </c>
      <c r="O127" s="220" t="str">
        <f t="shared" ca="1" si="15"/>
        <v>--</v>
      </c>
    </row>
    <row r="128" spans="1:15" x14ac:dyDescent="0.25">
      <c r="A128" s="210">
        <f t="shared" ref="A128:A163" si="16">+A127+1</f>
        <v>65</v>
      </c>
      <c r="B128" s="211">
        <f t="shared" si="11"/>
        <v>105</v>
      </c>
      <c r="C128" s="217" t="str">
        <f ca="1">IF(Message&lt;&gt;"",Message,SUM(Income!D75:J75))</f>
        <v>EXPIRED</v>
      </c>
      <c r="D128" s="218" t="str">
        <f ca="1">IF(Message&lt;&gt;"","--",+Investments!P76)</f>
        <v>--</v>
      </c>
      <c r="E128" s="218" t="str">
        <f ca="1">+Income!O75</f>
        <v>--</v>
      </c>
      <c r="F128" s="219" t="str">
        <f ca="1">+Income!P75</f>
        <v>EXPIRED</v>
      </c>
      <c r="G128" s="217" t="str">
        <f ca="1">IF(Message&lt;&gt;"","--",-Expenses!E72)</f>
        <v>--</v>
      </c>
      <c r="H128" s="218" t="str">
        <f ca="1">IF(Message&lt;&gt;"",Message,RealEstate!K70)</f>
        <v>EXPIRED</v>
      </c>
      <c r="I128" s="218" t="str">
        <f t="shared" ca="1" si="12"/>
        <v>--</v>
      </c>
      <c r="J128" s="218" t="str">
        <f t="shared" ca="1" si="13"/>
        <v>EXPIRED</v>
      </c>
      <c r="K128" s="218" t="str">
        <f ca="1">IF(Message&lt;&gt;"","--",-RealEstate!F70)</f>
        <v>--</v>
      </c>
      <c r="L128" s="217" t="str">
        <f ca="1">IF(Message&lt;&gt;"",Message,+Investments!E76)</f>
        <v>EXPIRED</v>
      </c>
      <c r="M128" s="218" t="str">
        <f ca="1">IF(Message&lt;&gt;"","--",+RealEstate!E70)</f>
        <v>--</v>
      </c>
      <c r="N128" s="218" t="str">
        <f t="shared" ca="1" si="14"/>
        <v>EXPIRED</v>
      </c>
      <c r="O128" s="220" t="str">
        <f t="shared" ca="1" si="15"/>
        <v>--</v>
      </c>
    </row>
    <row r="129" spans="1:15" x14ac:dyDescent="0.25">
      <c r="A129" s="210">
        <f t="shared" si="16"/>
        <v>66</v>
      </c>
      <c r="B129" s="211">
        <f t="shared" ref="B129:B163" si="17">+B128+1</f>
        <v>106</v>
      </c>
      <c r="C129" s="217" t="str">
        <f ca="1">IF(Message&lt;&gt;"",Message,SUM(Income!D76:J76))</f>
        <v>EXPIRED</v>
      </c>
      <c r="D129" s="218" t="str">
        <f ca="1">IF(Message&lt;&gt;"","--",+Investments!P77)</f>
        <v>--</v>
      </c>
      <c r="E129" s="218" t="str">
        <f ca="1">+Income!O76</f>
        <v>--</v>
      </c>
      <c r="F129" s="219" t="str">
        <f ca="1">+Income!P76</f>
        <v>EXPIRED</v>
      </c>
      <c r="G129" s="217" t="str">
        <f ca="1">IF(Message&lt;&gt;"","--",-Expenses!E73)</f>
        <v>--</v>
      </c>
      <c r="H129" s="218" t="str">
        <f ca="1">IF(Message&lt;&gt;"",Message,RealEstate!K71)</f>
        <v>EXPIRED</v>
      </c>
      <c r="I129" s="218" t="str">
        <f t="shared" ca="1" si="12"/>
        <v>--</v>
      </c>
      <c r="J129" s="218" t="str">
        <f t="shared" ca="1" si="13"/>
        <v>EXPIRED</v>
      </c>
      <c r="K129" s="218" t="str">
        <f ca="1">IF(Message&lt;&gt;"","--",-RealEstate!F71)</f>
        <v>--</v>
      </c>
      <c r="L129" s="217" t="str">
        <f ca="1">IF(Message&lt;&gt;"",Message,+Investments!E77)</f>
        <v>EXPIRED</v>
      </c>
      <c r="M129" s="218" t="str">
        <f ca="1">IF(Message&lt;&gt;"","--",+RealEstate!E71)</f>
        <v>--</v>
      </c>
      <c r="N129" s="218" t="str">
        <f t="shared" ca="1" si="14"/>
        <v>EXPIRED</v>
      </c>
      <c r="O129" s="220" t="str">
        <f t="shared" ca="1" si="15"/>
        <v>--</v>
      </c>
    </row>
    <row r="130" spans="1:15" x14ac:dyDescent="0.25">
      <c r="A130" s="210">
        <f t="shared" si="16"/>
        <v>67</v>
      </c>
      <c r="B130" s="211">
        <f t="shared" si="17"/>
        <v>107</v>
      </c>
      <c r="C130" s="217" t="str">
        <f ca="1">IF(Message&lt;&gt;"",Message,SUM(Income!D77:J77))</f>
        <v>EXPIRED</v>
      </c>
      <c r="D130" s="218" t="str">
        <f ca="1">IF(Message&lt;&gt;"","--",+Investments!P78)</f>
        <v>--</v>
      </c>
      <c r="E130" s="218" t="str">
        <f ca="1">+Income!O77</f>
        <v>--</v>
      </c>
      <c r="F130" s="219" t="str">
        <f ca="1">+Income!P77</f>
        <v>EXPIRED</v>
      </c>
      <c r="G130" s="217" t="str">
        <f ca="1">IF(Message&lt;&gt;"","--",-Expenses!E74)</f>
        <v>--</v>
      </c>
      <c r="H130" s="218" t="str">
        <f ca="1">IF(Message&lt;&gt;"",Message,RealEstate!K72)</f>
        <v>EXPIRED</v>
      </c>
      <c r="I130" s="218" t="str">
        <f t="shared" ca="1" si="12"/>
        <v>--</v>
      </c>
      <c r="J130" s="218" t="str">
        <f t="shared" ca="1" si="13"/>
        <v>EXPIRED</v>
      </c>
      <c r="K130" s="218" t="str">
        <f ca="1">IF(Message&lt;&gt;"","--",-RealEstate!F72)</f>
        <v>--</v>
      </c>
      <c r="L130" s="217" t="str">
        <f ca="1">IF(Message&lt;&gt;"",Message,+Investments!E78)</f>
        <v>EXPIRED</v>
      </c>
      <c r="M130" s="218" t="str">
        <f ca="1">IF(Message&lt;&gt;"","--",+RealEstate!E72)</f>
        <v>--</v>
      </c>
      <c r="N130" s="218" t="str">
        <f t="shared" ca="1" si="14"/>
        <v>EXPIRED</v>
      </c>
      <c r="O130" s="220" t="str">
        <f t="shared" ca="1" si="15"/>
        <v>--</v>
      </c>
    </row>
    <row r="131" spans="1:15" x14ac:dyDescent="0.25">
      <c r="A131" s="210">
        <f t="shared" si="16"/>
        <v>68</v>
      </c>
      <c r="B131" s="211">
        <f t="shared" si="17"/>
        <v>108</v>
      </c>
      <c r="C131" s="217" t="str">
        <f ca="1">IF(Message&lt;&gt;"",Message,SUM(Income!D78:J78))</f>
        <v>EXPIRED</v>
      </c>
      <c r="D131" s="218" t="str">
        <f ca="1">IF(Message&lt;&gt;"","--",+Investments!P79)</f>
        <v>--</v>
      </c>
      <c r="E131" s="218" t="str">
        <f ca="1">+Income!O78</f>
        <v>--</v>
      </c>
      <c r="F131" s="219" t="str">
        <f ca="1">+Income!P78</f>
        <v>EXPIRED</v>
      </c>
      <c r="G131" s="217" t="str">
        <f ca="1">IF(Message&lt;&gt;"","--",-Expenses!E75)</f>
        <v>--</v>
      </c>
      <c r="H131" s="218" t="str">
        <f ca="1">IF(Message&lt;&gt;"",Message,RealEstate!K73)</f>
        <v>EXPIRED</v>
      </c>
      <c r="I131" s="218" t="str">
        <f t="shared" ca="1" si="12"/>
        <v>--</v>
      </c>
      <c r="J131" s="218" t="str">
        <f t="shared" ca="1" si="13"/>
        <v>EXPIRED</v>
      </c>
      <c r="K131" s="218" t="str">
        <f ca="1">IF(Message&lt;&gt;"","--",-RealEstate!F73)</f>
        <v>--</v>
      </c>
      <c r="L131" s="217" t="str">
        <f ca="1">IF(Message&lt;&gt;"",Message,+Investments!E79)</f>
        <v>EXPIRED</v>
      </c>
      <c r="M131" s="218" t="str">
        <f ca="1">IF(Message&lt;&gt;"","--",+RealEstate!E73)</f>
        <v>--</v>
      </c>
      <c r="N131" s="218" t="str">
        <f t="shared" ca="1" si="14"/>
        <v>EXPIRED</v>
      </c>
      <c r="O131" s="220" t="str">
        <f t="shared" ca="1" si="15"/>
        <v>--</v>
      </c>
    </row>
    <row r="132" spans="1:15" x14ac:dyDescent="0.25">
      <c r="A132" s="210">
        <f t="shared" si="16"/>
        <v>69</v>
      </c>
      <c r="B132" s="211">
        <f t="shared" si="17"/>
        <v>109</v>
      </c>
      <c r="C132" s="217" t="str">
        <f ca="1">IF(Message&lt;&gt;"",Message,SUM(Income!D79:J79))</f>
        <v>EXPIRED</v>
      </c>
      <c r="D132" s="218" t="str">
        <f ca="1">IF(Message&lt;&gt;"","--",+Investments!P80)</f>
        <v>--</v>
      </c>
      <c r="E132" s="218" t="str">
        <f ca="1">+Income!O79</f>
        <v>--</v>
      </c>
      <c r="F132" s="219" t="str">
        <f ca="1">+Income!P79</f>
        <v>EXPIRED</v>
      </c>
      <c r="G132" s="217" t="str">
        <f ca="1">IF(Message&lt;&gt;"","--",-Expenses!E76)</f>
        <v>--</v>
      </c>
      <c r="H132" s="218" t="str">
        <f ca="1">IF(Message&lt;&gt;"",Message,RealEstate!K74)</f>
        <v>EXPIRED</v>
      </c>
      <c r="I132" s="218" t="str">
        <f t="shared" ca="1" si="12"/>
        <v>--</v>
      </c>
      <c r="J132" s="218" t="str">
        <f t="shared" ca="1" si="13"/>
        <v>EXPIRED</v>
      </c>
      <c r="K132" s="218" t="str">
        <f ca="1">IF(Message&lt;&gt;"","--",-RealEstate!F74)</f>
        <v>--</v>
      </c>
      <c r="L132" s="217" t="str">
        <f ca="1">IF(Message&lt;&gt;"",Message,+Investments!E80)</f>
        <v>EXPIRED</v>
      </c>
      <c r="M132" s="218" t="str">
        <f ca="1">IF(Message&lt;&gt;"","--",+RealEstate!E74)</f>
        <v>--</v>
      </c>
      <c r="N132" s="218" t="str">
        <f t="shared" ca="1" si="14"/>
        <v>EXPIRED</v>
      </c>
      <c r="O132" s="220" t="str">
        <f t="shared" ca="1" si="15"/>
        <v>--</v>
      </c>
    </row>
    <row r="133" spans="1:15" x14ac:dyDescent="0.25">
      <c r="A133" s="210">
        <f t="shared" si="16"/>
        <v>70</v>
      </c>
      <c r="B133" s="211">
        <f t="shared" si="17"/>
        <v>110</v>
      </c>
      <c r="C133" s="217" t="str">
        <f ca="1">IF(Message&lt;&gt;"",Message,SUM(Income!D80:J80))</f>
        <v>EXPIRED</v>
      </c>
      <c r="D133" s="218" t="str">
        <f ca="1">IF(Message&lt;&gt;"","--",+Investments!P81)</f>
        <v>--</v>
      </c>
      <c r="E133" s="218" t="str">
        <f ca="1">+Income!O80</f>
        <v>--</v>
      </c>
      <c r="F133" s="219" t="str">
        <f ca="1">+Income!P80</f>
        <v>EXPIRED</v>
      </c>
      <c r="G133" s="217" t="str">
        <f ca="1">IF(Message&lt;&gt;"","--",-Expenses!E77)</f>
        <v>--</v>
      </c>
      <c r="H133" s="218" t="str">
        <f ca="1">IF(Message&lt;&gt;"",Message,RealEstate!K75)</f>
        <v>EXPIRED</v>
      </c>
      <c r="I133" s="218" t="str">
        <f t="shared" ref="I133:I163" ca="1" si="18">IF(Message&lt;&gt;"","--",+SUM(G133:H133))</f>
        <v>--</v>
      </c>
      <c r="J133" s="218" t="str">
        <f t="shared" ref="J133:J163" ca="1" si="19">IF(Message&lt;&gt;"",Message,E133+I133)</f>
        <v>EXPIRED</v>
      </c>
      <c r="K133" s="218" t="str">
        <f ca="1">IF(Message&lt;&gt;"","--",-RealEstate!F75)</f>
        <v>--</v>
      </c>
      <c r="L133" s="217" t="str">
        <f ca="1">IF(Message&lt;&gt;"",Message,+Investments!E81)</f>
        <v>EXPIRED</v>
      </c>
      <c r="M133" s="218" t="str">
        <f ca="1">IF(Message&lt;&gt;"","--",+RealEstate!E75)</f>
        <v>--</v>
      </c>
      <c r="N133" s="218" t="str">
        <f t="shared" ref="N133:N163" ca="1" si="20">IF(Message&lt;&gt;"",Message,+L133+M133)</f>
        <v>EXPIRED</v>
      </c>
      <c r="O133" s="220" t="str">
        <f t="shared" ref="O133:O163" ca="1" si="21">IF(Message&lt;&gt;"","--",+N133-N132)</f>
        <v>--</v>
      </c>
    </row>
    <row r="134" spans="1:15" x14ac:dyDescent="0.25">
      <c r="A134" s="210">
        <f t="shared" si="16"/>
        <v>71</v>
      </c>
      <c r="B134" s="211">
        <f t="shared" si="17"/>
        <v>111</v>
      </c>
      <c r="C134" s="217" t="str">
        <f ca="1">IF(Message&lt;&gt;"",Message,SUM(Income!D81:J81))</f>
        <v>EXPIRED</v>
      </c>
      <c r="D134" s="218" t="str">
        <f ca="1">IF(Message&lt;&gt;"","--",+Investments!P82)</f>
        <v>--</v>
      </c>
      <c r="E134" s="218" t="str">
        <f ca="1">+Income!O81</f>
        <v>--</v>
      </c>
      <c r="F134" s="219" t="str">
        <f ca="1">+Income!P81</f>
        <v>EXPIRED</v>
      </c>
      <c r="G134" s="217" t="str">
        <f ca="1">IF(Message&lt;&gt;"","--",-Expenses!E78)</f>
        <v>--</v>
      </c>
      <c r="H134" s="218" t="str">
        <f ca="1">IF(Message&lt;&gt;"",Message,RealEstate!K76)</f>
        <v>EXPIRED</v>
      </c>
      <c r="I134" s="218" t="str">
        <f t="shared" ca="1" si="18"/>
        <v>--</v>
      </c>
      <c r="J134" s="218" t="str">
        <f t="shared" ca="1" si="19"/>
        <v>EXPIRED</v>
      </c>
      <c r="K134" s="218" t="str">
        <f ca="1">IF(Message&lt;&gt;"","--",-RealEstate!F76)</f>
        <v>--</v>
      </c>
      <c r="L134" s="217" t="str">
        <f ca="1">IF(Message&lt;&gt;"",Message,+Investments!E82)</f>
        <v>EXPIRED</v>
      </c>
      <c r="M134" s="218" t="str">
        <f ca="1">IF(Message&lt;&gt;"","--",+RealEstate!E76)</f>
        <v>--</v>
      </c>
      <c r="N134" s="218" t="str">
        <f t="shared" ca="1" si="20"/>
        <v>EXPIRED</v>
      </c>
      <c r="O134" s="220" t="str">
        <f t="shared" ca="1" si="21"/>
        <v>--</v>
      </c>
    </row>
    <row r="135" spans="1:15" x14ac:dyDescent="0.25">
      <c r="A135" s="210">
        <f t="shared" si="16"/>
        <v>72</v>
      </c>
      <c r="B135" s="211">
        <f t="shared" si="17"/>
        <v>112</v>
      </c>
      <c r="C135" s="217" t="str">
        <f ca="1">IF(Message&lt;&gt;"",Message,SUM(Income!D82:J82))</f>
        <v>EXPIRED</v>
      </c>
      <c r="D135" s="218" t="str">
        <f ca="1">IF(Message&lt;&gt;"","--",+Investments!P83)</f>
        <v>--</v>
      </c>
      <c r="E135" s="218" t="str">
        <f ca="1">+Income!O82</f>
        <v>--</v>
      </c>
      <c r="F135" s="219" t="str">
        <f ca="1">+Income!P82</f>
        <v>EXPIRED</v>
      </c>
      <c r="G135" s="217" t="str">
        <f ca="1">IF(Message&lt;&gt;"","--",-Expenses!E79)</f>
        <v>--</v>
      </c>
      <c r="H135" s="218" t="str">
        <f ca="1">IF(Message&lt;&gt;"",Message,RealEstate!K77)</f>
        <v>EXPIRED</v>
      </c>
      <c r="I135" s="218" t="str">
        <f t="shared" ca="1" si="18"/>
        <v>--</v>
      </c>
      <c r="J135" s="218" t="str">
        <f t="shared" ca="1" si="19"/>
        <v>EXPIRED</v>
      </c>
      <c r="K135" s="218" t="str">
        <f ca="1">IF(Message&lt;&gt;"","--",-RealEstate!F77)</f>
        <v>--</v>
      </c>
      <c r="L135" s="217" t="str">
        <f ca="1">IF(Message&lt;&gt;"",Message,+Investments!E83)</f>
        <v>EXPIRED</v>
      </c>
      <c r="M135" s="218" t="str">
        <f ca="1">IF(Message&lt;&gt;"","--",+RealEstate!E77)</f>
        <v>--</v>
      </c>
      <c r="N135" s="218" t="str">
        <f t="shared" ca="1" si="20"/>
        <v>EXPIRED</v>
      </c>
      <c r="O135" s="220" t="str">
        <f t="shared" ca="1" si="21"/>
        <v>--</v>
      </c>
    </row>
    <row r="136" spans="1:15" x14ac:dyDescent="0.25">
      <c r="A136" s="210">
        <f t="shared" si="16"/>
        <v>73</v>
      </c>
      <c r="B136" s="211">
        <f t="shared" si="17"/>
        <v>113</v>
      </c>
      <c r="C136" s="217" t="str">
        <f ca="1">IF(Message&lt;&gt;"",Message,SUM(Income!D83:J83))</f>
        <v>EXPIRED</v>
      </c>
      <c r="D136" s="218" t="str">
        <f ca="1">IF(Message&lt;&gt;"","--",+Investments!P84)</f>
        <v>--</v>
      </c>
      <c r="E136" s="218" t="str">
        <f ca="1">+Income!O83</f>
        <v>--</v>
      </c>
      <c r="F136" s="219" t="str">
        <f ca="1">+Income!P83</f>
        <v>EXPIRED</v>
      </c>
      <c r="G136" s="217" t="str">
        <f ca="1">IF(Message&lt;&gt;"","--",-Expenses!E80)</f>
        <v>--</v>
      </c>
      <c r="H136" s="218" t="str">
        <f ca="1">IF(Message&lt;&gt;"",Message,RealEstate!K78)</f>
        <v>EXPIRED</v>
      </c>
      <c r="I136" s="218" t="str">
        <f t="shared" ca="1" si="18"/>
        <v>--</v>
      </c>
      <c r="J136" s="218" t="str">
        <f t="shared" ca="1" si="19"/>
        <v>EXPIRED</v>
      </c>
      <c r="K136" s="218" t="str">
        <f ca="1">IF(Message&lt;&gt;"","--",-RealEstate!F78)</f>
        <v>--</v>
      </c>
      <c r="L136" s="217" t="str">
        <f ca="1">IF(Message&lt;&gt;"",Message,+Investments!E84)</f>
        <v>EXPIRED</v>
      </c>
      <c r="M136" s="218" t="str">
        <f ca="1">IF(Message&lt;&gt;"","--",+RealEstate!E78)</f>
        <v>--</v>
      </c>
      <c r="N136" s="218" t="str">
        <f t="shared" ca="1" si="20"/>
        <v>EXPIRED</v>
      </c>
      <c r="O136" s="220" t="str">
        <f t="shared" ca="1" si="21"/>
        <v>--</v>
      </c>
    </row>
    <row r="137" spans="1:15" x14ac:dyDescent="0.25">
      <c r="A137" s="210">
        <f t="shared" si="16"/>
        <v>74</v>
      </c>
      <c r="B137" s="211">
        <f t="shared" si="17"/>
        <v>114</v>
      </c>
      <c r="C137" s="217" t="str">
        <f ca="1">IF(Message&lt;&gt;"",Message,SUM(Income!D84:J84))</f>
        <v>EXPIRED</v>
      </c>
      <c r="D137" s="218" t="str">
        <f ca="1">IF(Message&lt;&gt;"","--",+Investments!P85)</f>
        <v>--</v>
      </c>
      <c r="E137" s="218" t="str">
        <f ca="1">+Income!O84</f>
        <v>--</v>
      </c>
      <c r="F137" s="219" t="str">
        <f ca="1">+Income!P84</f>
        <v>EXPIRED</v>
      </c>
      <c r="G137" s="217" t="str">
        <f ca="1">IF(Message&lt;&gt;"","--",-Expenses!E81)</f>
        <v>--</v>
      </c>
      <c r="H137" s="218" t="str">
        <f ca="1">IF(Message&lt;&gt;"",Message,RealEstate!K79)</f>
        <v>EXPIRED</v>
      </c>
      <c r="I137" s="218" t="str">
        <f t="shared" ca="1" si="18"/>
        <v>--</v>
      </c>
      <c r="J137" s="218" t="str">
        <f t="shared" ca="1" si="19"/>
        <v>EXPIRED</v>
      </c>
      <c r="K137" s="218" t="str">
        <f ca="1">IF(Message&lt;&gt;"","--",-RealEstate!F79)</f>
        <v>--</v>
      </c>
      <c r="L137" s="217" t="str">
        <f ca="1">IF(Message&lt;&gt;"",Message,+Investments!E85)</f>
        <v>EXPIRED</v>
      </c>
      <c r="M137" s="218" t="str">
        <f ca="1">IF(Message&lt;&gt;"","--",+RealEstate!E79)</f>
        <v>--</v>
      </c>
      <c r="N137" s="218" t="str">
        <f t="shared" ca="1" si="20"/>
        <v>EXPIRED</v>
      </c>
      <c r="O137" s="220" t="str">
        <f t="shared" ca="1" si="21"/>
        <v>--</v>
      </c>
    </row>
    <row r="138" spans="1:15" x14ac:dyDescent="0.25">
      <c r="A138" s="210">
        <f t="shared" si="16"/>
        <v>75</v>
      </c>
      <c r="B138" s="211">
        <f t="shared" si="17"/>
        <v>115</v>
      </c>
      <c r="C138" s="217" t="str">
        <f ca="1">IF(Message&lt;&gt;"",Message,SUM(Income!D85:J85))</f>
        <v>EXPIRED</v>
      </c>
      <c r="D138" s="218" t="str">
        <f ca="1">IF(Message&lt;&gt;"","--",+Investments!P86)</f>
        <v>--</v>
      </c>
      <c r="E138" s="218" t="str">
        <f ca="1">+Income!O85</f>
        <v>--</v>
      </c>
      <c r="F138" s="219" t="str">
        <f ca="1">+Income!P85</f>
        <v>EXPIRED</v>
      </c>
      <c r="G138" s="217" t="str">
        <f ca="1">IF(Message&lt;&gt;"","--",-Expenses!E82)</f>
        <v>--</v>
      </c>
      <c r="H138" s="218" t="str">
        <f ca="1">IF(Message&lt;&gt;"",Message,RealEstate!K80)</f>
        <v>EXPIRED</v>
      </c>
      <c r="I138" s="218" t="str">
        <f t="shared" ca="1" si="18"/>
        <v>--</v>
      </c>
      <c r="J138" s="218" t="str">
        <f t="shared" ca="1" si="19"/>
        <v>EXPIRED</v>
      </c>
      <c r="K138" s="218" t="str">
        <f ca="1">IF(Message&lt;&gt;"","--",-RealEstate!F80)</f>
        <v>--</v>
      </c>
      <c r="L138" s="217" t="str">
        <f ca="1">IF(Message&lt;&gt;"",Message,+Investments!E86)</f>
        <v>EXPIRED</v>
      </c>
      <c r="M138" s="218" t="str">
        <f ca="1">IF(Message&lt;&gt;"","--",+RealEstate!E80)</f>
        <v>--</v>
      </c>
      <c r="N138" s="218" t="str">
        <f t="shared" ca="1" si="20"/>
        <v>EXPIRED</v>
      </c>
      <c r="O138" s="220" t="str">
        <f t="shared" ca="1" si="21"/>
        <v>--</v>
      </c>
    </row>
    <row r="139" spans="1:15" x14ac:dyDescent="0.25">
      <c r="A139" s="210">
        <f t="shared" si="16"/>
        <v>76</v>
      </c>
      <c r="B139" s="211">
        <f t="shared" si="17"/>
        <v>116</v>
      </c>
      <c r="C139" s="217" t="str">
        <f ca="1">IF(Message&lt;&gt;"",Message,SUM(Income!D86:J86))</f>
        <v>EXPIRED</v>
      </c>
      <c r="D139" s="218" t="str">
        <f ca="1">IF(Message&lt;&gt;"","--",+Investments!P87)</f>
        <v>--</v>
      </c>
      <c r="E139" s="218" t="str">
        <f ca="1">+Income!O86</f>
        <v>--</v>
      </c>
      <c r="F139" s="219" t="str">
        <f ca="1">+Income!P86</f>
        <v>EXPIRED</v>
      </c>
      <c r="G139" s="217" t="str">
        <f ca="1">IF(Message&lt;&gt;"","--",-Expenses!E83)</f>
        <v>--</v>
      </c>
      <c r="H139" s="218" t="str">
        <f ca="1">IF(Message&lt;&gt;"",Message,RealEstate!K81)</f>
        <v>EXPIRED</v>
      </c>
      <c r="I139" s="218" t="str">
        <f t="shared" ca="1" si="18"/>
        <v>--</v>
      </c>
      <c r="J139" s="218" t="str">
        <f t="shared" ca="1" si="19"/>
        <v>EXPIRED</v>
      </c>
      <c r="K139" s="218" t="str">
        <f ca="1">IF(Message&lt;&gt;"","--",-RealEstate!F81)</f>
        <v>--</v>
      </c>
      <c r="L139" s="217" t="str">
        <f ca="1">IF(Message&lt;&gt;"",Message,+Investments!E87)</f>
        <v>EXPIRED</v>
      </c>
      <c r="M139" s="218" t="str">
        <f ca="1">IF(Message&lt;&gt;"","--",+RealEstate!E81)</f>
        <v>--</v>
      </c>
      <c r="N139" s="218" t="str">
        <f t="shared" ca="1" si="20"/>
        <v>EXPIRED</v>
      </c>
      <c r="O139" s="220" t="str">
        <f t="shared" ca="1" si="21"/>
        <v>--</v>
      </c>
    </row>
    <row r="140" spans="1:15" x14ac:dyDescent="0.25">
      <c r="A140" s="210">
        <f t="shared" si="16"/>
        <v>77</v>
      </c>
      <c r="B140" s="211">
        <f t="shared" si="17"/>
        <v>117</v>
      </c>
      <c r="C140" s="217" t="str">
        <f ca="1">IF(Message&lt;&gt;"",Message,SUM(Income!D87:J87))</f>
        <v>EXPIRED</v>
      </c>
      <c r="D140" s="218" t="str">
        <f ca="1">IF(Message&lt;&gt;"","--",+Investments!P88)</f>
        <v>--</v>
      </c>
      <c r="E140" s="218" t="str">
        <f ca="1">+Income!O87</f>
        <v>--</v>
      </c>
      <c r="F140" s="219" t="str">
        <f ca="1">+Income!P87</f>
        <v>EXPIRED</v>
      </c>
      <c r="G140" s="217" t="str">
        <f ca="1">IF(Message&lt;&gt;"","--",-Expenses!E84)</f>
        <v>--</v>
      </c>
      <c r="H140" s="218" t="str">
        <f ca="1">IF(Message&lt;&gt;"",Message,RealEstate!K82)</f>
        <v>EXPIRED</v>
      </c>
      <c r="I140" s="218" t="str">
        <f t="shared" ca="1" si="18"/>
        <v>--</v>
      </c>
      <c r="J140" s="218" t="str">
        <f t="shared" ca="1" si="19"/>
        <v>EXPIRED</v>
      </c>
      <c r="K140" s="218" t="str">
        <f ca="1">IF(Message&lt;&gt;"","--",-RealEstate!F82)</f>
        <v>--</v>
      </c>
      <c r="L140" s="217" t="str">
        <f ca="1">IF(Message&lt;&gt;"",Message,+Investments!E88)</f>
        <v>EXPIRED</v>
      </c>
      <c r="M140" s="218" t="str">
        <f ca="1">IF(Message&lt;&gt;"","--",+RealEstate!E82)</f>
        <v>--</v>
      </c>
      <c r="N140" s="218" t="str">
        <f t="shared" ca="1" si="20"/>
        <v>EXPIRED</v>
      </c>
      <c r="O140" s="220" t="str">
        <f t="shared" ca="1" si="21"/>
        <v>--</v>
      </c>
    </row>
    <row r="141" spans="1:15" x14ac:dyDescent="0.25">
      <c r="A141" s="210">
        <f t="shared" si="16"/>
        <v>78</v>
      </c>
      <c r="B141" s="211">
        <f t="shared" si="17"/>
        <v>118</v>
      </c>
      <c r="C141" s="217" t="str">
        <f ca="1">IF(Message&lt;&gt;"",Message,SUM(Income!D88:J88))</f>
        <v>EXPIRED</v>
      </c>
      <c r="D141" s="218" t="str">
        <f ca="1">IF(Message&lt;&gt;"","--",+Investments!P89)</f>
        <v>--</v>
      </c>
      <c r="E141" s="218" t="str">
        <f ca="1">+Income!O88</f>
        <v>--</v>
      </c>
      <c r="F141" s="219" t="str">
        <f ca="1">+Income!P88</f>
        <v>EXPIRED</v>
      </c>
      <c r="G141" s="217" t="str">
        <f ca="1">IF(Message&lt;&gt;"","--",-Expenses!E85)</f>
        <v>--</v>
      </c>
      <c r="H141" s="218" t="str">
        <f ca="1">IF(Message&lt;&gt;"",Message,RealEstate!K83)</f>
        <v>EXPIRED</v>
      </c>
      <c r="I141" s="218" t="str">
        <f t="shared" ca="1" si="18"/>
        <v>--</v>
      </c>
      <c r="J141" s="218" t="str">
        <f t="shared" ca="1" si="19"/>
        <v>EXPIRED</v>
      </c>
      <c r="K141" s="218" t="str">
        <f ca="1">IF(Message&lt;&gt;"","--",-RealEstate!F83)</f>
        <v>--</v>
      </c>
      <c r="L141" s="217" t="str">
        <f ca="1">IF(Message&lt;&gt;"",Message,+Investments!E89)</f>
        <v>EXPIRED</v>
      </c>
      <c r="M141" s="218" t="str">
        <f ca="1">IF(Message&lt;&gt;"","--",+RealEstate!E83)</f>
        <v>--</v>
      </c>
      <c r="N141" s="218" t="str">
        <f t="shared" ca="1" si="20"/>
        <v>EXPIRED</v>
      </c>
      <c r="O141" s="220" t="str">
        <f t="shared" ca="1" si="21"/>
        <v>--</v>
      </c>
    </row>
    <row r="142" spans="1:15" x14ac:dyDescent="0.25">
      <c r="A142" s="210">
        <f t="shared" si="16"/>
        <v>79</v>
      </c>
      <c r="B142" s="211">
        <f t="shared" si="17"/>
        <v>119</v>
      </c>
      <c r="C142" s="217" t="str">
        <f ca="1">IF(Message&lt;&gt;"",Message,SUM(Income!D89:J89))</f>
        <v>EXPIRED</v>
      </c>
      <c r="D142" s="218" t="str">
        <f ca="1">IF(Message&lt;&gt;"","--",+Investments!P90)</f>
        <v>--</v>
      </c>
      <c r="E142" s="218" t="str">
        <f ca="1">+Income!O89</f>
        <v>--</v>
      </c>
      <c r="F142" s="219" t="str">
        <f ca="1">+Income!P89</f>
        <v>EXPIRED</v>
      </c>
      <c r="G142" s="217" t="str">
        <f ca="1">IF(Message&lt;&gt;"","--",-Expenses!E86)</f>
        <v>--</v>
      </c>
      <c r="H142" s="218" t="str">
        <f ca="1">IF(Message&lt;&gt;"",Message,RealEstate!K84)</f>
        <v>EXPIRED</v>
      </c>
      <c r="I142" s="218" t="str">
        <f t="shared" ca="1" si="18"/>
        <v>--</v>
      </c>
      <c r="J142" s="218" t="str">
        <f t="shared" ca="1" si="19"/>
        <v>EXPIRED</v>
      </c>
      <c r="K142" s="218" t="str">
        <f ca="1">IF(Message&lt;&gt;"","--",-RealEstate!F84)</f>
        <v>--</v>
      </c>
      <c r="L142" s="217" t="str">
        <f ca="1">IF(Message&lt;&gt;"",Message,+Investments!E90)</f>
        <v>EXPIRED</v>
      </c>
      <c r="M142" s="218" t="str">
        <f ca="1">IF(Message&lt;&gt;"","--",+RealEstate!E84)</f>
        <v>--</v>
      </c>
      <c r="N142" s="218" t="str">
        <f t="shared" ca="1" si="20"/>
        <v>EXPIRED</v>
      </c>
      <c r="O142" s="220" t="str">
        <f t="shared" ca="1" si="21"/>
        <v>--</v>
      </c>
    </row>
    <row r="143" spans="1:15" x14ac:dyDescent="0.25">
      <c r="A143" s="210">
        <f t="shared" si="16"/>
        <v>80</v>
      </c>
      <c r="B143" s="211">
        <f t="shared" si="17"/>
        <v>120</v>
      </c>
      <c r="C143" s="217" t="str">
        <f ca="1">IF(Message&lt;&gt;"",Message,SUM(Income!D90:J90))</f>
        <v>EXPIRED</v>
      </c>
      <c r="D143" s="218" t="str">
        <f ca="1">IF(Message&lt;&gt;"","--",+Investments!P91)</f>
        <v>--</v>
      </c>
      <c r="E143" s="218" t="str">
        <f ca="1">+Income!O90</f>
        <v>--</v>
      </c>
      <c r="F143" s="219" t="str">
        <f ca="1">+Income!P90</f>
        <v>EXPIRED</v>
      </c>
      <c r="G143" s="217" t="str">
        <f ca="1">IF(Message&lt;&gt;"","--",-Expenses!E87)</f>
        <v>--</v>
      </c>
      <c r="H143" s="218" t="str">
        <f ca="1">IF(Message&lt;&gt;"",Message,RealEstate!K85)</f>
        <v>EXPIRED</v>
      </c>
      <c r="I143" s="218" t="str">
        <f t="shared" ca="1" si="18"/>
        <v>--</v>
      </c>
      <c r="J143" s="218" t="str">
        <f t="shared" ca="1" si="19"/>
        <v>EXPIRED</v>
      </c>
      <c r="K143" s="218" t="str">
        <f ca="1">IF(Message&lt;&gt;"","--",-RealEstate!F85)</f>
        <v>--</v>
      </c>
      <c r="L143" s="217" t="str">
        <f ca="1">IF(Message&lt;&gt;"",Message,+Investments!E91)</f>
        <v>EXPIRED</v>
      </c>
      <c r="M143" s="218" t="str">
        <f ca="1">IF(Message&lt;&gt;"","--",+RealEstate!E85)</f>
        <v>--</v>
      </c>
      <c r="N143" s="218" t="str">
        <f t="shared" ca="1" si="20"/>
        <v>EXPIRED</v>
      </c>
      <c r="O143" s="220" t="str">
        <f t="shared" ca="1" si="21"/>
        <v>--</v>
      </c>
    </row>
    <row r="144" spans="1:15" x14ac:dyDescent="0.25">
      <c r="A144" s="210">
        <f t="shared" si="16"/>
        <v>81</v>
      </c>
      <c r="B144" s="211">
        <f t="shared" si="17"/>
        <v>121</v>
      </c>
      <c r="C144" s="217" t="str">
        <f ca="1">IF(Message&lt;&gt;"",Message,SUM(Income!D91:J91))</f>
        <v>EXPIRED</v>
      </c>
      <c r="D144" s="218" t="str">
        <f ca="1">IF(Message&lt;&gt;"","--",+Investments!P92)</f>
        <v>--</v>
      </c>
      <c r="E144" s="218" t="str">
        <f ca="1">+Income!O91</f>
        <v>--</v>
      </c>
      <c r="F144" s="219" t="str">
        <f ca="1">+Income!P91</f>
        <v>EXPIRED</v>
      </c>
      <c r="G144" s="217" t="str">
        <f ca="1">IF(Message&lt;&gt;"","--",-Expenses!E88)</f>
        <v>--</v>
      </c>
      <c r="H144" s="218" t="str">
        <f ca="1">IF(Message&lt;&gt;"",Message,RealEstate!K86)</f>
        <v>EXPIRED</v>
      </c>
      <c r="I144" s="218" t="str">
        <f t="shared" ca="1" si="18"/>
        <v>--</v>
      </c>
      <c r="J144" s="218" t="str">
        <f t="shared" ca="1" si="19"/>
        <v>EXPIRED</v>
      </c>
      <c r="K144" s="218" t="str">
        <f ca="1">IF(Message&lt;&gt;"","--",-RealEstate!F86)</f>
        <v>--</v>
      </c>
      <c r="L144" s="217" t="str">
        <f ca="1">IF(Message&lt;&gt;"",Message,+Investments!E92)</f>
        <v>EXPIRED</v>
      </c>
      <c r="M144" s="218" t="str">
        <f ca="1">IF(Message&lt;&gt;"","--",+RealEstate!E86)</f>
        <v>--</v>
      </c>
      <c r="N144" s="218" t="str">
        <f t="shared" ca="1" si="20"/>
        <v>EXPIRED</v>
      </c>
      <c r="O144" s="220" t="str">
        <f t="shared" ca="1" si="21"/>
        <v>--</v>
      </c>
    </row>
    <row r="145" spans="1:15" x14ac:dyDescent="0.25">
      <c r="A145" s="210">
        <f t="shared" si="16"/>
        <v>82</v>
      </c>
      <c r="B145" s="211">
        <f t="shared" si="17"/>
        <v>122</v>
      </c>
      <c r="C145" s="217" t="str">
        <f ca="1">IF(Message&lt;&gt;"",Message,SUM(Income!D92:J92))</f>
        <v>EXPIRED</v>
      </c>
      <c r="D145" s="218" t="str">
        <f ca="1">IF(Message&lt;&gt;"","--",+Investments!P93)</f>
        <v>--</v>
      </c>
      <c r="E145" s="218" t="str">
        <f ca="1">+Income!O92</f>
        <v>--</v>
      </c>
      <c r="F145" s="219" t="str">
        <f ca="1">+Income!P92</f>
        <v>EXPIRED</v>
      </c>
      <c r="G145" s="217" t="str">
        <f ca="1">IF(Message&lt;&gt;"","--",-Expenses!E89)</f>
        <v>--</v>
      </c>
      <c r="H145" s="218" t="str">
        <f ca="1">IF(Message&lt;&gt;"",Message,RealEstate!K87)</f>
        <v>EXPIRED</v>
      </c>
      <c r="I145" s="218" t="str">
        <f t="shared" ca="1" si="18"/>
        <v>--</v>
      </c>
      <c r="J145" s="218" t="str">
        <f t="shared" ca="1" si="19"/>
        <v>EXPIRED</v>
      </c>
      <c r="K145" s="218" t="str">
        <f ca="1">IF(Message&lt;&gt;"","--",-RealEstate!F87)</f>
        <v>--</v>
      </c>
      <c r="L145" s="217" t="str">
        <f ca="1">IF(Message&lt;&gt;"",Message,+Investments!E93)</f>
        <v>EXPIRED</v>
      </c>
      <c r="M145" s="218" t="str">
        <f ca="1">IF(Message&lt;&gt;"","--",+RealEstate!E87)</f>
        <v>--</v>
      </c>
      <c r="N145" s="218" t="str">
        <f t="shared" ca="1" si="20"/>
        <v>EXPIRED</v>
      </c>
      <c r="O145" s="220" t="str">
        <f t="shared" ca="1" si="21"/>
        <v>--</v>
      </c>
    </row>
    <row r="146" spans="1:15" x14ac:dyDescent="0.25">
      <c r="A146" s="210">
        <f t="shared" si="16"/>
        <v>83</v>
      </c>
      <c r="B146" s="211">
        <f t="shared" si="17"/>
        <v>123</v>
      </c>
      <c r="C146" s="217" t="str">
        <f ca="1">IF(Message&lt;&gt;"",Message,SUM(Income!D93:J93))</f>
        <v>EXPIRED</v>
      </c>
      <c r="D146" s="218" t="str">
        <f ca="1">IF(Message&lt;&gt;"","--",+Investments!P94)</f>
        <v>--</v>
      </c>
      <c r="E146" s="218" t="str">
        <f ca="1">+Income!O93</f>
        <v>--</v>
      </c>
      <c r="F146" s="219" t="str">
        <f ca="1">+Income!P93</f>
        <v>EXPIRED</v>
      </c>
      <c r="G146" s="217" t="str">
        <f ca="1">IF(Message&lt;&gt;"","--",-Expenses!E90)</f>
        <v>--</v>
      </c>
      <c r="H146" s="218" t="str">
        <f ca="1">IF(Message&lt;&gt;"",Message,RealEstate!K88)</f>
        <v>EXPIRED</v>
      </c>
      <c r="I146" s="218" t="str">
        <f t="shared" ca="1" si="18"/>
        <v>--</v>
      </c>
      <c r="J146" s="218" t="str">
        <f t="shared" ca="1" si="19"/>
        <v>EXPIRED</v>
      </c>
      <c r="K146" s="218" t="str">
        <f ca="1">IF(Message&lt;&gt;"","--",-RealEstate!F88)</f>
        <v>--</v>
      </c>
      <c r="L146" s="217" t="str">
        <f ca="1">IF(Message&lt;&gt;"",Message,+Investments!E94)</f>
        <v>EXPIRED</v>
      </c>
      <c r="M146" s="218" t="str">
        <f ca="1">IF(Message&lt;&gt;"","--",+RealEstate!E88)</f>
        <v>--</v>
      </c>
      <c r="N146" s="218" t="str">
        <f t="shared" ca="1" si="20"/>
        <v>EXPIRED</v>
      </c>
      <c r="O146" s="220" t="str">
        <f t="shared" ca="1" si="21"/>
        <v>--</v>
      </c>
    </row>
    <row r="147" spans="1:15" x14ac:dyDescent="0.25">
      <c r="A147" s="210">
        <f t="shared" si="16"/>
        <v>84</v>
      </c>
      <c r="B147" s="211">
        <f t="shared" si="17"/>
        <v>124</v>
      </c>
      <c r="C147" s="217" t="str">
        <f ca="1">IF(Message&lt;&gt;"",Message,SUM(Income!D94:J94))</f>
        <v>EXPIRED</v>
      </c>
      <c r="D147" s="218" t="str">
        <f ca="1">IF(Message&lt;&gt;"","--",+Investments!P95)</f>
        <v>--</v>
      </c>
      <c r="E147" s="218" t="str">
        <f ca="1">+Income!O94</f>
        <v>--</v>
      </c>
      <c r="F147" s="219" t="str">
        <f ca="1">+Income!P94</f>
        <v>EXPIRED</v>
      </c>
      <c r="G147" s="217" t="str">
        <f ca="1">IF(Message&lt;&gt;"","--",-Expenses!E91)</f>
        <v>--</v>
      </c>
      <c r="H147" s="218" t="str">
        <f ca="1">IF(Message&lt;&gt;"",Message,RealEstate!K89)</f>
        <v>EXPIRED</v>
      </c>
      <c r="I147" s="218" t="str">
        <f t="shared" ca="1" si="18"/>
        <v>--</v>
      </c>
      <c r="J147" s="218" t="str">
        <f t="shared" ca="1" si="19"/>
        <v>EXPIRED</v>
      </c>
      <c r="K147" s="218" t="str">
        <f ca="1">IF(Message&lt;&gt;"","--",-RealEstate!F89)</f>
        <v>--</v>
      </c>
      <c r="L147" s="217" t="str">
        <f ca="1">IF(Message&lt;&gt;"",Message,+Investments!E95)</f>
        <v>EXPIRED</v>
      </c>
      <c r="M147" s="218" t="str">
        <f ca="1">IF(Message&lt;&gt;"","--",+RealEstate!E89)</f>
        <v>--</v>
      </c>
      <c r="N147" s="218" t="str">
        <f t="shared" ca="1" si="20"/>
        <v>EXPIRED</v>
      </c>
      <c r="O147" s="220" t="str">
        <f t="shared" ca="1" si="21"/>
        <v>--</v>
      </c>
    </row>
    <row r="148" spans="1:15" x14ac:dyDescent="0.25">
      <c r="A148" s="210">
        <f t="shared" si="16"/>
        <v>85</v>
      </c>
      <c r="B148" s="211">
        <f t="shared" si="17"/>
        <v>125</v>
      </c>
      <c r="C148" s="217" t="str">
        <f ca="1">IF(Message&lt;&gt;"",Message,SUM(Income!D95:J95))</f>
        <v>EXPIRED</v>
      </c>
      <c r="D148" s="218" t="str">
        <f ca="1">IF(Message&lt;&gt;"","--",+Investments!P96)</f>
        <v>--</v>
      </c>
      <c r="E148" s="218" t="str">
        <f ca="1">+Income!O95</f>
        <v>--</v>
      </c>
      <c r="F148" s="219" t="str">
        <f ca="1">+Income!P95</f>
        <v>EXPIRED</v>
      </c>
      <c r="G148" s="217" t="str">
        <f ca="1">IF(Message&lt;&gt;"","--",-Expenses!E92)</f>
        <v>--</v>
      </c>
      <c r="H148" s="218" t="str">
        <f ca="1">IF(Message&lt;&gt;"",Message,RealEstate!K90)</f>
        <v>EXPIRED</v>
      </c>
      <c r="I148" s="218" t="str">
        <f t="shared" ca="1" si="18"/>
        <v>--</v>
      </c>
      <c r="J148" s="218" t="str">
        <f t="shared" ca="1" si="19"/>
        <v>EXPIRED</v>
      </c>
      <c r="K148" s="218" t="str">
        <f ca="1">IF(Message&lt;&gt;"","--",-RealEstate!F90)</f>
        <v>--</v>
      </c>
      <c r="L148" s="217" t="str">
        <f ca="1">IF(Message&lt;&gt;"",Message,+Investments!E96)</f>
        <v>EXPIRED</v>
      </c>
      <c r="M148" s="218" t="str">
        <f ca="1">IF(Message&lt;&gt;"","--",+RealEstate!E90)</f>
        <v>--</v>
      </c>
      <c r="N148" s="218" t="str">
        <f t="shared" ca="1" si="20"/>
        <v>EXPIRED</v>
      </c>
      <c r="O148" s="220" t="str">
        <f t="shared" ca="1" si="21"/>
        <v>--</v>
      </c>
    </row>
    <row r="149" spans="1:15" x14ac:dyDescent="0.25">
      <c r="A149" s="210">
        <f t="shared" si="16"/>
        <v>86</v>
      </c>
      <c r="B149" s="211">
        <f t="shared" si="17"/>
        <v>126</v>
      </c>
      <c r="C149" s="217" t="str">
        <f ca="1">IF(Message&lt;&gt;"",Message,SUM(Income!D96:J96))</f>
        <v>EXPIRED</v>
      </c>
      <c r="D149" s="218" t="str">
        <f ca="1">IF(Message&lt;&gt;"","--",+Investments!P97)</f>
        <v>--</v>
      </c>
      <c r="E149" s="218" t="str">
        <f ca="1">+Income!O96</f>
        <v>--</v>
      </c>
      <c r="F149" s="219" t="str">
        <f ca="1">+Income!P96</f>
        <v>EXPIRED</v>
      </c>
      <c r="G149" s="217" t="str">
        <f ca="1">IF(Message&lt;&gt;"","--",-Expenses!E93)</f>
        <v>--</v>
      </c>
      <c r="H149" s="218" t="str">
        <f ca="1">IF(Message&lt;&gt;"",Message,RealEstate!K91)</f>
        <v>EXPIRED</v>
      </c>
      <c r="I149" s="218" t="str">
        <f t="shared" ca="1" si="18"/>
        <v>--</v>
      </c>
      <c r="J149" s="218" t="str">
        <f t="shared" ca="1" si="19"/>
        <v>EXPIRED</v>
      </c>
      <c r="K149" s="218" t="str">
        <f ca="1">IF(Message&lt;&gt;"","--",-RealEstate!F91)</f>
        <v>--</v>
      </c>
      <c r="L149" s="217" t="str">
        <f ca="1">IF(Message&lt;&gt;"",Message,+Investments!E97)</f>
        <v>EXPIRED</v>
      </c>
      <c r="M149" s="218" t="str">
        <f ca="1">IF(Message&lt;&gt;"","--",+RealEstate!E91)</f>
        <v>--</v>
      </c>
      <c r="N149" s="218" t="str">
        <f t="shared" ca="1" si="20"/>
        <v>EXPIRED</v>
      </c>
      <c r="O149" s="220" t="str">
        <f t="shared" ca="1" si="21"/>
        <v>--</v>
      </c>
    </row>
    <row r="150" spans="1:15" x14ac:dyDescent="0.25">
      <c r="A150" s="210">
        <f t="shared" si="16"/>
        <v>87</v>
      </c>
      <c r="B150" s="211">
        <f t="shared" si="17"/>
        <v>127</v>
      </c>
      <c r="C150" s="217" t="str">
        <f ca="1">IF(Message&lt;&gt;"",Message,SUM(Income!D97:J97))</f>
        <v>EXPIRED</v>
      </c>
      <c r="D150" s="218" t="str">
        <f ca="1">IF(Message&lt;&gt;"","--",+Investments!P98)</f>
        <v>--</v>
      </c>
      <c r="E150" s="218" t="str">
        <f ca="1">+Income!O97</f>
        <v>--</v>
      </c>
      <c r="F150" s="219" t="str">
        <f ca="1">+Income!P97</f>
        <v>EXPIRED</v>
      </c>
      <c r="G150" s="217" t="str">
        <f ca="1">IF(Message&lt;&gt;"","--",-Expenses!E94)</f>
        <v>--</v>
      </c>
      <c r="H150" s="218" t="str">
        <f ca="1">IF(Message&lt;&gt;"",Message,RealEstate!K92)</f>
        <v>EXPIRED</v>
      </c>
      <c r="I150" s="218" t="str">
        <f t="shared" ca="1" si="18"/>
        <v>--</v>
      </c>
      <c r="J150" s="218" t="str">
        <f t="shared" ca="1" si="19"/>
        <v>EXPIRED</v>
      </c>
      <c r="K150" s="218" t="str">
        <f ca="1">IF(Message&lt;&gt;"","--",-RealEstate!F92)</f>
        <v>--</v>
      </c>
      <c r="L150" s="217" t="str">
        <f ca="1">IF(Message&lt;&gt;"",Message,+Investments!E98)</f>
        <v>EXPIRED</v>
      </c>
      <c r="M150" s="218" t="str">
        <f ca="1">IF(Message&lt;&gt;"","--",+RealEstate!E92)</f>
        <v>--</v>
      </c>
      <c r="N150" s="218" t="str">
        <f t="shared" ca="1" si="20"/>
        <v>EXPIRED</v>
      </c>
      <c r="O150" s="220" t="str">
        <f t="shared" ca="1" si="21"/>
        <v>--</v>
      </c>
    </row>
    <row r="151" spans="1:15" x14ac:dyDescent="0.25">
      <c r="A151" s="210">
        <f t="shared" si="16"/>
        <v>88</v>
      </c>
      <c r="B151" s="211">
        <f t="shared" si="17"/>
        <v>128</v>
      </c>
      <c r="C151" s="217" t="str">
        <f ca="1">IF(Message&lt;&gt;"",Message,SUM(Income!D98:J98))</f>
        <v>EXPIRED</v>
      </c>
      <c r="D151" s="218" t="str">
        <f ca="1">IF(Message&lt;&gt;"","--",+Investments!P99)</f>
        <v>--</v>
      </c>
      <c r="E151" s="218" t="str">
        <f ca="1">+Income!O98</f>
        <v>--</v>
      </c>
      <c r="F151" s="219" t="str">
        <f ca="1">+Income!P98</f>
        <v>EXPIRED</v>
      </c>
      <c r="G151" s="217" t="str">
        <f ca="1">IF(Message&lt;&gt;"","--",-Expenses!E95)</f>
        <v>--</v>
      </c>
      <c r="H151" s="218" t="str">
        <f ca="1">IF(Message&lt;&gt;"",Message,RealEstate!K93)</f>
        <v>EXPIRED</v>
      </c>
      <c r="I151" s="218" t="str">
        <f t="shared" ca="1" si="18"/>
        <v>--</v>
      </c>
      <c r="J151" s="218" t="str">
        <f t="shared" ca="1" si="19"/>
        <v>EXPIRED</v>
      </c>
      <c r="K151" s="218" t="str">
        <f ca="1">IF(Message&lt;&gt;"","--",-RealEstate!F93)</f>
        <v>--</v>
      </c>
      <c r="L151" s="217" t="str">
        <f ca="1">IF(Message&lt;&gt;"",Message,+Investments!E99)</f>
        <v>EXPIRED</v>
      </c>
      <c r="M151" s="218" t="str">
        <f ca="1">IF(Message&lt;&gt;"","--",+RealEstate!E93)</f>
        <v>--</v>
      </c>
      <c r="N151" s="218" t="str">
        <f t="shared" ca="1" si="20"/>
        <v>EXPIRED</v>
      </c>
      <c r="O151" s="220" t="str">
        <f t="shared" ca="1" si="21"/>
        <v>--</v>
      </c>
    </row>
    <row r="152" spans="1:15" x14ac:dyDescent="0.25">
      <c r="A152" s="210">
        <f t="shared" si="16"/>
        <v>89</v>
      </c>
      <c r="B152" s="211">
        <f t="shared" si="17"/>
        <v>129</v>
      </c>
      <c r="C152" s="217" t="str">
        <f ca="1">IF(Message&lt;&gt;"",Message,SUM(Income!D99:J99))</f>
        <v>EXPIRED</v>
      </c>
      <c r="D152" s="218" t="str">
        <f ca="1">IF(Message&lt;&gt;"","--",+Investments!P100)</f>
        <v>--</v>
      </c>
      <c r="E152" s="218" t="str">
        <f ca="1">+Income!O99</f>
        <v>--</v>
      </c>
      <c r="F152" s="219" t="str">
        <f ca="1">+Income!P99</f>
        <v>EXPIRED</v>
      </c>
      <c r="G152" s="217" t="str">
        <f ca="1">IF(Message&lt;&gt;"","--",-Expenses!E96)</f>
        <v>--</v>
      </c>
      <c r="H152" s="218" t="str">
        <f ca="1">IF(Message&lt;&gt;"",Message,RealEstate!K94)</f>
        <v>EXPIRED</v>
      </c>
      <c r="I152" s="218" t="str">
        <f t="shared" ca="1" si="18"/>
        <v>--</v>
      </c>
      <c r="J152" s="218" t="str">
        <f t="shared" ca="1" si="19"/>
        <v>EXPIRED</v>
      </c>
      <c r="K152" s="218" t="str">
        <f ca="1">IF(Message&lt;&gt;"","--",-RealEstate!F94)</f>
        <v>--</v>
      </c>
      <c r="L152" s="217" t="str">
        <f ca="1">IF(Message&lt;&gt;"",Message,+Investments!E100)</f>
        <v>EXPIRED</v>
      </c>
      <c r="M152" s="218" t="str">
        <f ca="1">IF(Message&lt;&gt;"","--",+RealEstate!E94)</f>
        <v>--</v>
      </c>
      <c r="N152" s="218" t="str">
        <f t="shared" ca="1" si="20"/>
        <v>EXPIRED</v>
      </c>
      <c r="O152" s="220" t="str">
        <f t="shared" ca="1" si="21"/>
        <v>--</v>
      </c>
    </row>
    <row r="153" spans="1:15" x14ac:dyDescent="0.25">
      <c r="A153" s="210">
        <f t="shared" si="16"/>
        <v>90</v>
      </c>
      <c r="B153" s="211">
        <f t="shared" si="17"/>
        <v>130</v>
      </c>
      <c r="C153" s="217" t="str">
        <f ca="1">IF(Message&lt;&gt;"",Message,SUM(Income!D100:J100))</f>
        <v>EXPIRED</v>
      </c>
      <c r="D153" s="218" t="str">
        <f ca="1">IF(Message&lt;&gt;"","--",+Investments!P101)</f>
        <v>--</v>
      </c>
      <c r="E153" s="218" t="str">
        <f ca="1">+Income!O100</f>
        <v>--</v>
      </c>
      <c r="F153" s="219" t="str">
        <f ca="1">+Income!P100</f>
        <v>EXPIRED</v>
      </c>
      <c r="G153" s="217" t="str">
        <f ca="1">IF(Message&lt;&gt;"","--",-Expenses!E97)</f>
        <v>--</v>
      </c>
      <c r="H153" s="218" t="str">
        <f ca="1">IF(Message&lt;&gt;"",Message,RealEstate!K95)</f>
        <v>EXPIRED</v>
      </c>
      <c r="I153" s="218" t="str">
        <f t="shared" ca="1" si="18"/>
        <v>--</v>
      </c>
      <c r="J153" s="218" t="str">
        <f t="shared" ca="1" si="19"/>
        <v>EXPIRED</v>
      </c>
      <c r="K153" s="218" t="str">
        <f ca="1">IF(Message&lt;&gt;"","--",-RealEstate!F95)</f>
        <v>--</v>
      </c>
      <c r="L153" s="217" t="str">
        <f ca="1">IF(Message&lt;&gt;"",Message,+Investments!E101)</f>
        <v>EXPIRED</v>
      </c>
      <c r="M153" s="218" t="str">
        <f ca="1">IF(Message&lt;&gt;"","--",+RealEstate!E95)</f>
        <v>--</v>
      </c>
      <c r="N153" s="218" t="str">
        <f t="shared" ca="1" si="20"/>
        <v>EXPIRED</v>
      </c>
      <c r="O153" s="220" t="str">
        <f t="shared" ca="1" si="21"/>
        <v>--</v>
      </c>
    </row>
    <row r="154" spans="1:15" x14ac:dyDescent="0.25">
      <c r="A154" s="210">
        <f t="shared" si="16"/>
        <v>91</v>
      </c>
      <c r="B154" s="211">
        <f t="shared" si="17"/>
        <v>131</v>
      </c>
      <c r="C154" s="217" t="str">
        <f ca="1">IF(Message&lt;&gt;"",Message,SUM(Income!D101:J101))</f>
        <v>EXPIRED</v>
      </c>
      <c r="D154" s="218" t="str">
        <f ca="1">IF(Message&lt;&gt;"","--",+Investments!P102)</f>
        <v>--</v>
      </c>
      <c r="E154" s="218" t="str">
        <f ca="1">+Income!O101</f>
        <v>--</v>
      </c>
      <c r="F154" s="219" t="str">
        <f ca="1">+Income!P101</f>
        <v>EXPIRED</v>
      </c>
      <c r="G154" s="217" t="str">
        <f ca="1">IF(Message&lt;&gt;"","--",-Expenses!E98)</f>
        <v>--</v>
      </c>
      <c r="H154" s="218" t="str">
        <f ca="1">IF(Message&lt;&gt;"",Message,RealEstate!K96)</f>
        <v>EXPIRED</v>
      </c>
      <c r="I154" s="218" t="str">
        <f t="shared" ca="1" si="18"/>
        <v>--</v>
      </c>
      <c r="J154" s="218" t="str">
        <f t="shared" ca="1" si="19"/>
        <v>EXPIRED</v>
      </c>
      <c r="K154" s="218" t="str">
        <f ca="1">IF(Message&lt;&gt;"","--",-RealEstate!F96)</f>
        <v>--</v>
      </c>
      <c r="L154" s="217" t="str">
        <f ca="1">IF(Message&lt;&gt;"",Message,+Investments!E102)</f>
        <v>EXPIRED</v>
      </c>
      <c r="M154" s="218" t="str">
        <f ca="1">IF(Message&lt;&gt;"","--",+RealEstate!E96)</f>
        <v>--</v>
      </c>
      <c r="N154" s="218" t="str">
        <f t="shared" ca="1" si="20"/>
        <v>EXPIRED</v>
      </c>
      <c r="O154" s="220" t="str">
        <f t="shared" ca="1" si="21"/>
        <v>--</v>
      </c>
    </row>
    <row r="155" spans="1:15" x14ac:dyDescent="0.25">
      <c r="A155" s="210">
        <f t="shared" si="16"/>
        <v>92</v>
      </c>
      <c r="B155" s="211">
        <f t="shared" si="17"/>
        <v>132</v>
      </c>
      <c r="C155" s="217" t="str">
        <f ca="1">IF(Message&lt;&gt;"",Message,SUM(Income!D102:J102))</f>
        <v>EXPIRED</v>
      </c>
      <c r="D155" s="218" t="str">
        <f ca="1">IF(Message&lt;&gt;"","--",+Investments!P103)</f>
        <v>--</v>
      </c>
      <c r="E155" s="218" t="str">
        <f ca="1">+Income!O102</f>
        <v>--</v>
      </c>
      <c r="F155" s="219" t="str">
        <f ca="1">+Income!P102</f>
        <v>EXPIRED</v>
      </c>
      <c r="G155" s="217" t="str">
        <f ca="1">IF(Message&lt;&gt;"","--",-Expenses!E99)</f>
        <v>--</v>
      </c>
      <c r="H155" s="218" t="str">
        <f ca="1">IF(Message&lt;&gt;"",Message,RealEstate!K97)</f>
        <v>EXPIRED</v>
      </c>
      <c r="I155" s="218" t="str">
        <f t="shared" ca="1" si="18"/>
        <v>--</v>
      </c>
      <c r="J155" s="218" t="str">
        <f t="shared" ca="1" si="19"/>
        <v>EXPIRED</v>
      </c>
      <c r="K155" s="218" t="str">
        <f ca="1">IF(Message&lt;&gt;"","--",-RealEstate!F97)</f>
        <v>--</v>
      </c>
      <c r="L155" s="217" t="str">
        <f ca="1">IF(Message&lt;&gt;"",Message,+Investments!E103)</f>
        <v>EXPIRED</v>
      </c>
      <c r="M155" s="218" t="str">
        <f ca="1">IF(Message&lt;&gt;"","--",+RealEstate!E97)</f>
        <v>--</v>
      </c>
      <c r="N155" s="218" t="str">
        <f t="shared" ca="1" si="20"/>
        <v>EXPIRED</v>
      </c>
      <c r="O155" s="220" t="str">
        <f t="shared" ca="1" si="21"/>
        <v>--</v>
      </c>
    </row>
    <row r="156" spans="1:15" x14ac:dyDescent="0.25">
      <c r="A156" s="210">
        <f t="shared" si="16"/>
        <v>93</v>
      </c>
      <c r="B156" s="211">
        <f t="shared" si="17"/>
        <v>133</v>
      </c>
      <c r="C156" s="217" t="str">
        <f ca="1">IF(Message&lt;&gt;"",Message,SUM(Income!D103:J103))</f>
        <v>EXPIRED</v>
      </c>
      <c r="D156" s="218" t="str">
        <f ca="1">IF(Message&lt;&gt;"","--",+Investments!P104)</f>
        <v>--</v>
      </c>
      <c r="E156" s="218" t="str">
        <f ca="1">+Income!O103</f>
        <v>--</v>
      </c>
      <c r="F156" s="219" t="str">
        <f ca="1">+Income!P103</f>
        <v>EXPIRED</v>
      </c>
      <c r="G156" s="217" t="str">
        <f ca="1">IF(Message&lt;&gt;"","--",-Expenses!E100)</f>
        <v>--</v>
      </c>
      <c r="H156" s="218" t="str">
        <f ca="1">IF(Message&lt;&gt;"",Message,RealEstate!K98)</f>
        <v>EXPIRED</v>
      </c>
      <c r="I156" s="218" t="str">
        <f t="shared" ca="1" si="18"/>
        <v>--</v>
      </c>
      <c r="J156" s="218" t="str">
        <f t="shared" ca="1" si="19"/>
        <v>EXPIRED</v>
      </c>
      <c r="K156" s="218" t="str">
        <f ca="1">IF(Message&lt;&gt;"","--",-RealEstate!F98)</f>
        <v>--</v>
      </c>
      <c r="L156" s="217" t="str">
        <f ca="1">IF(Message&lt;&gt;"",Message,+Investments!E104)</f>
        <v>EXPIRED</v>
      </c>
      <c r="M156" s="218" t="str">
        <f ca="1">IF(Message&lt;&gt;"","--",+RealEstate!E98)</f>
        <v>--</v>
      </c>
      <c r="N156" s="218" t="str">
        <f t="shared" ca="1" si="20"/>
        <v>EXPIRED</v>
      </c>
      <c r="O156" s="220" t="str">
        <f t="shared" ca="1" si="21"/>
        <v>--</v>
      </c>
    </row>
    <row r="157" spans="1:15" x14ac:dyDescent="0.25">
      <c r="A157" s="210">
        <f t="shared" si="16"/>
        <v>94</v>
      </c>
      <c r="B157" s="211">
        <f t="shared" si="17"/>
        <v>134</v>
      </c>
      <c r="C157" s="217" t="str">
        <f ca="1">IF(Message&lt;&gt;"",Message,SUM(Income!D104:J104))</f>
        <v>EXPIRED</v>
      </c>
      <c r="D157" s="218" t="str">
        <f ca="1">IF(Message&lt;&gt;"","--",+Investments!P105)</f>
        <v>--</v>
      </c>
      <c r="E157" s="218" t="str">
        <f ca="1">+Income!O104</f>
        <v>--</v>
      </c>
      <c r="F157" s="219" t="str">
        <f ca="1">+Income!P104</f>
        <v>EXPIRED</v>
      </c>
      <c r="G157" s="217" t="str">
        <f ca="1">IF(Message&lt;&gt;"","--",-Expenses!E101)</f>
        <v>--</v>
      </c>
      <c r="H157" s="218" t="str">
        <f ca="1">IF(Message&lt;&gt;"",Message,RealEstate!K99)</f>
        <v>EXPIRED</v>
      </c>
      <c r="I157" s="218" t="str">
        <f t="shared" ca="1" si="18"/>
        <v>--</v>
      </c>
      <c r="J157" s="218" t="str">
        <f t="shared" ca="1" si="19"/>
        <v>EXPIRED</v>
      </c>
      <c r="K157" s="218" t="str">
        <f ca="1">IF(Message&lt;&gt;"","--",-RealEstate!F99)</f>
        <v>--</v>
      </c>
      <c r="L157" s="217" t="str">
        <f ca="1">IF(Message&lt;&gt;"",Message,+Investments!E105)</f>
        <v>EXPIRED</v>
      </c>
      <c r="M157" s="218" t="str">
        <f ca="1">IF(Message&lt;&gt;"","--",+RealEstate!E99)</f>
        <v>--</v>
      </c>
      <c r="N157" s="218" t="str">
        <f t="shared" ca="1" si="20"/>
        <v>EXPIRED</v>
      </c>
      <c r="O157" s="220" t="str">
        <f t="shared" ca="1" si="21"/>
        <v>--</v>
      </c>
    </row>
    <row r="158" spans="1:15" x14ac:dyDescent="0.25">
      <c r="A158" s="210">
        <f t="shared" si="16"/>
        <v>95</v>
      </c>
      <c r="B158" s="211">
        <f t="shared" si="17"/>
        <v>135</v>
      </c>
      <c r="C158" s="217" t="str">
        <f ca="1">IF(Message&lt;&gt;"",Message,SUM(Income!D105:J105))</f>
        <v>EXPIRED</v>
      </c>
      <c r="D158" s="218" t="str">
        <f ca="1">IF(Message&lt;&gt;"","--",+Investments!P106)</f>
        <v>--</v>
      </c>
      <c r="E158" s="218" t="str">
        <f ca="1">+Income!O105</f>
        <v>--</v>
      </c>
      <c r="F158" s="219" t="str">
        <f ca="1">+Income!P105</f>
        <v>EXPIRED</v>
      </c>
      <c r="G158" s="217" t="str">
        <f ca="1">IF(Message&lt;&gt;"","--",-Expenses!E102)</f>
        <v>--</v>
      </c>
      <c r="H158" s="218" t="str">
        <f ca="1">IF(Message&lt;&gt;"",Message,RealEstate!K100)</f>
        <v>EXPIRED</v>
      </c>
      <c r="I158" s="218" t="str">
        <f t="shared" ca="1" si="18"/>
        <v>--</v>
      </c>
      <c r="J158" s="218" t="str">
        <f t="shared" ca="1" si="19"/>
        <v>EXPIRED</v>
      </c>
      <c r="K158" s="218" t="str">
        <f ca="1">IF(Message&lt;&gt;"","--",-RealEstate!F100)</f>
        <v>--</v>
      </c>
      <c r="L158" s="217" t="str">
        <f ca="1">IF(Message&lt;&gt;"",Message,+Investments!E106)</f>
        <v>EXPIRED</v>
      </c>
      <c r="M158" s="218" t="str">
        <f ca="1">IF(Message&lt;&gt;"","--",+RealEstate!E100)</f>
        <v>--</v>
      </c>
      <c r="N158" s="218" t="str">
        <f t="shared" ca="1" si="20"/>
        <v>EXPIRED</v>
      </c>
      <c r="O158" s="220" t="str">
        <f t="shared" ca="1" si="21"/>
        <v>--</v>
      </c>
    </row>
    <row r="159" spans="1:15" x14ac:dyDescent="0.25">
      <c r="A159" s="210">
        <f t="shared" si="16"/>
        <v>96</v>
      </c>
      <c r="B159" s="211">
        <f t="shared" si="17"/>
        <v>136</v>
      </c>
      <c r="C159" s="217" t="str">
        <f ca="1">IF(Message&lt;&gt;"",Message,SUM(Income!D106:J106))</f>
        <v>EXPIRED</v>
      </c>
      <c r="D159" s="218" t="str">
        <f ca="1">IF(Message&lt;&gt;"","--",+Investments!P107)</f>
        <v>--</v>
      </c>
      <c r="E159" s="218" t="str">
        <f ca="1">+Income!O106</f>
        <v>--</v>
      </c>
      <c r="F159" s="219" t="str">
        <f ca="1">+Income!P106</f>
        <v>EXPIRED</v>
      </c>
      <c r="G159" s="217" t="str">
        <f ca="1">IF(Message&lt;&gt;"","--",-Expenses!E103)</f>
        <v>--</v>
      </c>
      <c r="H159" s="218" t="str">
        <f ca="1">IF(Message&lt;&gt;"",Message,RealEstate!K101)</f>
        <v>EXPIRED</v>
      </c>
      <c r="I159" s="218" t="str">
        <f t="shared" ca="1" si="18"/>
        <v>--</v>
      </c>
      <c r="J159" s="218" t="str">
        <f t="shared" ca="1" si="19"/>
        <v>EXPIRED</v>
      </c>
      <c r="K159" s="218" t="str">
        <f ca="1">IF(Message&lt;&gt;"","--",-RealEstate!F101)</f>
        <v>--</v>
      </c>
      <c r="L159" s="217" t="str">
        <f ca="1">IF(Message&lt;&gt;"",Message,+Investments!E107)</f>
        <v>EXPIRED</v>
      </c>
      <c r="M159" s="218" t="str">
        <f ca="1">IF(Message&lt;&gt;"","--",+RealEstate!E101)</f>
        <v>--</v>
      </c>
      <c r="N159" s="218" t="str">
        <f t="shared" ca="1" si="20"/>
        <v>EXPIRED</v>
      </c>
      <c r="O159" s="220" t="str">
        <f t="shared" ca="1" si="21"/>
        <v>--</v>
      </c>
    </row>
    <row r="160" spans="1:15" x14ac:dyDescent="0.25">
      <c r="A160" s="210">
        <f t="shared" si="16"/>
        <v>97</v>
      </c>
      <c r="B160" s="211">
        <f t="shared" si="17"/>
        <v>137</v>
      </c>
      <c r="C160" s="217" t="str">
        <f ca="1">IF(Message&lt;&gt;"",Message,SUM(Income!D107:J107))</f>
        <v>EXPIRED</v>
      </c>
      <c r="D160" s="218" t="str">
        <f ca="1">IF(Message&lt;&gt;"","--",+Investments!P108)</f>
        <v>--</v>
      </c>
      <c r="E160" s="218" t="str">
        <f ca="1">+Income!O107</f>
        <v>--</v>
      </c>
      <c r="F160" s="219" t="str">
        <f ca="1">+Income!P107</f>
        <v>EXPIRED</v>
      </c>
      <c r="G160" s="217" t="str">
        <f ca="1">IF(Message&lt;&gt;"","--",-Expenses!E104)</f>
        <v>--</v>
      </c>
      <c r="H160" s="218" t="str">
        <f ca="1">IF(Message&lt;&gt;"",Message,RealEstate!K102)</f>
        <v>EXPIRED</v>
      </c>
      <c r="I160" s="218" t="str">
        <f t="shared" ca="1" si="18"/>
        <v>--</v>
      </c>
      <c r="J160" s="218" t="str">
        <f t="shared" ca="1" si="19"/>
        <v>EXPIRED</v>
      </c>
      <c r="K160" s="218" t="str">
        <f ca="1">IF(Message&lt;&gt;"","--",-RealEstate!F102)</f>
        <v>--</v>
      </c>
      <c r="L160" s="217" t="str">
        <f ca="1">IF(Message&lt;&gt;"",Message,+Investments!E108)</f>
        <v>EXPIRED</v>
      </c>
      <c r="M160" s="218" t="str">
        <f ca="1">IF(Message&lt;&gt;"","--",+RealEstate!E102)</f>
        <v>--</v>
      </c>
      <c r="N160" s="218" t="str">
        <f t="shared" ca="1" si="20"/>
        <v>EXPIRED</v>
      </c>
      <c r="O160" s="220" t="str">
        <f t="shared" ca="1" si="21"/>
        <v>--</v>
      </c>
    </row>
    <row r="161" spans="1:15" x14ac:dyDescent="0.25">
      <c r="A161" s="210">
        <f t="shared" si="16"/>
        <v>98</v>
      </c>
      <c r="B161" s="211">
        <f t="shared" si="17"/>
        <v>138</v>
      </c>
      <c r="C161" s="217" t="str">
        <f ca="1">IF(Message&lt;&gt;"",Message,SUM(Income!D108:J108))</f>
        <v>EXPIRED</v>
      </c>
      <c r="D161" s="218" t="str">
        <f ca="1">IF(Message&lt;&gt;"","--",+Investments!P109)</f>
        <v>--</v>
      </c>
      <c r="E161" s="218" t="str">
        <f ca="1">+Income!O108</f>
        <v>--</v>
      </c>
      <c r="F161" s="219" t="str">
        <f ca="1">+Income!P108</f>
        <v>EXPIRED</v>
      </c>
      <c r="G161" s="217" t="str">
        <f ca="1">IF(Message&lt;&gt;"","--",-Expenses!E105)</f>
        <v>--</v>
      </c>
      <c r="H161" s="218" t="str">
        <f ca="1">IF(Message&lt;&gt;"",Message,RealEstate!K103)</f>
        <v>EXPIRED</v>
      </c>
      <c r="I161" s="218" t="str">
        <f t="shared" ca="1" si="18"/>
        <v>--</v>
      </c>
      <c r="J161" s="218" t="str">
        <f t="shared" ca="1" si="19"/>
        <v>EXPIRED</v>
      </c>
      <c r="K161" s="218" t="str">
        <f ca="1">IF(Message&lt;&gt;"","--",-RealEstate!F103)</f>
        <v>--</v>
      </c>
      <c r="L161" s="217" t="str">
        <f ca="1">IF(Message&lt;&gt;"",Message,+Investments!E109)</f>
        <v>EXPIRED</v>
      </c>
      <c r="M161" s="218" t="str">
        <f ca="1">IF(Message&lt;&gt;"","--",+RealEstate!E103)</f>
        <v>--</v>
      </c>
      <c r="N161" s="218" t="str">
        <f t="shared" ca="1" si="20"/>
        <v>EXPIRED</v>
      </c>
      <c r="O161" s="220" t="str">
        <f t="shared" ca="1" si="21"/>
        <v>--</v>
      </c>
    </row>
    <row r="162" spans="1:15" x14ac:dyDescent="0.25">
      <c r="A162" s="210">
        <f t="shared" si="16"/>
        <v>99</v>
      </c>
      <c r="B162" s="211">
        <f t="shared" si="17"/>
        <v>139</v>
      </c>
      <c r="C162" s="217" t="str">
        <f ca="1">IF(Message&lt;&gt;"",Message,SUM(Income!D109:J109))</f>
        <v>EXPIRED</v>
      </c>
      <c r="D162" s="218" t="str">
        <f ca="1">IF(Message&lt;&gt;"","--",+Investments!P110)</f>
        <v>--</v>
      </c>
      <c r="E162" s="218" t="str">
        <f ca="1">+Income!O109</f>
        <v>--</v>
      </c>
      <c r="F162" s="219" t="str">
        <f ca="1">+Income!P109</f>
        <v>EXPIRED</v>
      </c>
      <c r="G162" s="217" t="str">
        <f ca="1">IF(Message&lt;&gt;"","--",-Expenses!E106)</f>
        <v>--</v>
      </c>
      <c r="H162" s="218" t="str">
        <f ca="1">IF(Message&lt;&gt;"",Message,RealEstate!K104)</f>
        <v>EXPIRED</v>
      </c>
      <c r="I162" s="218" t="str">
        <f t="shared" ca="1" si="18"/>
        <v>--</v>
      </c>
      <c r="J162" s="218" t="str">
        <f t="shared" ca="1" si="19"/>
        <v>EXPIRED</v>
      </c>
      <c r="K162" s="218" t="str">
        <f ca="1">IF(Message&lt;&gt;"","--",-RealEstate!F104)</f>
        <v>--</v>
      </c>
      <c r="L162" s="217" t="str">
        <f ca="1">IF(Message&lt;&gt;"",Message,+Investments!E110)</f>
        <v>EXPIRED</v>
      </c>
      <c r="M162" s="218" t="str">
        <f ca="1">IF(Message&lt;&gt;"","--",+RealEstate!E104)</f>
        <v>--</v>
      </c>
      <c r="N162" s="218" t="str">
        <f t="shared" ca="1" si="20"/>
        <v>EXPIRED</v>
      </c>
      <c r="O162" s="220" t="str">
        <f t="shared" ca="1" si="21"/>
        <v>--</v>
      </c>
    </row>
    <row r="163" spans="1:15" x14ac:dyDescent="0.25">
      <c r="A163" s="214">
        <f t="shared" si="16"/>
        <v>100</v>
      </c>
      <c r="B163" s="215">
        <f t="shared" si="17"/>
        <v>140</v>
      </c>
      <c r="C163" s="217" t="str">
        <f ca="1">IF(Message&lt;&gt;"",Message,SUM(Income!D110:J110))</f>
        <v>EXPIRED</v>
      </c>
      <c r="D163" s="218" t="str">
        <f ca="1">IF(Message&lt;&gt;"","--",+Investments!P111)</f>
        <v>--</v>
      </c>
      <c r="E163" s="218" t="str">
        <f ca="1">+Income!O110</f>
        <v>--</v>
      </c>
      <c r="F163" s="219" t="str">
        <f ca="1">+Income!P110</f>
        <v>EXPIRED</v>
      </c>
      <c r="G163" s="217" t="str">
        <f ca="1">IF(Message&lt;&gt;"","--",-Expenses!E107)</f>
        <v>--</v>
      </c>
      <c r="H163" s="218" t="str">
        <f ca="1">IF(Message&lt;&gt;"",Message,RealEstate!K105)</f>
        <v>EXPIRED</v>
      </c>
      <c r="I163" s="218" t="str">
        <f t="shared" ca="1" si="18"/>
        <v>--</v>
      </c>
      <c r="J163" s="218" t="str">
        <f t="shared" ca="1" si="19"/>
        <v>EXPIRED</v>
      </c>
      <c r="K163" s="218" t="str">
        <f ca="1">IF(Message&lt;&gt;"","--",-RealEstate!F105)</f>
        <v>--</v>
      </c>
      <c r="L163" s="217" t="str">
        <f ca="1">IF(Message&lt;&gt;"",Message,+Investments!E111)</f>
        <v>EXPIRED</v>
      </c>
      <c r="M163" s="218" t="str">
        <f ca="1">IF(Message&lt;&gt;"","--",+RealEstate!E105)</f>
        <v>--</v>
      </c>
      <c r="N163" s="218" t="str">
        <f t="shared" ca="1" si="20"/>
        <v>EXPIRED</v>
      </c>
      <c r="O163" s="220" t="str">
        <f t="shared" ca="1" si="21"/>
        <v>--</v>
      </c>
    </row>
    <row r="166" spans="1:15" x14ac:dyDescent="0.25">
      <c r="A166" s="216" t="s">
        <v>203</v>
      </c>
      <c r="B166" s="194">
        <f>+MATCH(100,B63:B163,0)-1</f>
        <v>60</v>
      </c>
    </row>
  </sheetData>
  <sheetProtection password="A122" sheet="1" objects="1" scenarios="1"/>
  <mergeCells count="3">
    <mergeCell ref="C61:F61"/>
    <mergeCell ref="G61:K61"/>
    <mergeCell ref="L61:O61"/>
  </mergeCells>
  <conditionalFormatting sqref="B58">
    <cfRule type="expression" dxfId="4" priority="4">
      <formula>$B$58&lt;&gt;1</formula>
    </cfRule>
  </conditionalFormatting>
  <conditionalFormatting sqref="B59:B60">
    <cfRule type="expression" dxfId="3" priority="3">
      <formula>$B$59&lt;&gt;1</formula>
    </cfRule>
  </conditionalFormatting>
  <conditionalFormatting sqref="C69:C163">
    <cfRule type="expression" dxfId="2" priority="2">
      <formula>expiredLicense = TRUE</formula>
    </cfRule>
  </conditionalFormatting>
  <hyperlinks>
    <hyperlink ref="A5" location="instrInflation" display="Inflation:"/>
    <hyperlink ref="A6" location="instrAge" display="Your Current Age:"/>
    <hyperlink ref="A7" location="instr401KTarget" display="401K Target Deposit:"/>
    <hyperlink ref="A11" location="instr_Cash1" display="Starting Balance:"/>
    <hyperlink ref="A12" location="instr_Cash2" display="Target Balance:"/>
    <hyperlink ref="A13" location="instr_Cash3" display="Deposit Rate:"/>
    <hyperlink ref="A14" location="instr_Cash4" display="Borrow Rate:"/>
    <hyperlink ref="A18" location="instrIncomeDesc" display="Description:"/>
    <hyperlink ref="A19" location="instrIncome" display="Income:"/>
    <hyperlink ref="A20" location="instrIncomeGrowth" display="Growth over Inflation"/>
    <hyperlink ref="A21" location="instrIncomeCap" display=" Income Cap:"/>
    <hyperlink ref="A22" location="instrIncomeTaxedAs" display="Taxed as Capital Gain?:"/>
    <hyperlink ref="A23" location="instrIncomeStart" display="Start Age (0 fo Today):"/>
    <hyperlink ref="A24" location="instrIncomeEnd" display="End at Age:"/>
    <hyperlink ref="A28" location="instrExpDesc" display="Description:"/>
    <hyperlink ref="A30" location="instrExpGrowth" display="Growth over Inflation"/>
    <hyperlink ref="A29" location="instrExpAmount" display="Amount:"/>
    <hyperlink ref="A31" location="instExpStart" display="Start Age:"/>
    <hyperlink ref="A32" location="instrExpEnd" display="End at Age:"/>
    <hyperlink ref="A36" location="instr_REDesc" display="Description:"/>
    <hyperlink ref="A37" location="instr_REValue" display="Value (Zero if Renting):"/>
    <hyperlink ref="A38" location="instrREGrowth" display="Growth over Inflation"/>
    <hyperlink ref="A39" location="instrREStart" display="Buy At Age:"/>
    <hyperlink ref="A40" location="instrREEnd" display="Sell at Age:"/>
    <hyperlink ref="A41" location="instrRELTV" display="Mortgage LTV:"/>
    <hyperlink ref="A42" location="instrMtgYEars" display="Mtg Years:"/>
    <hyperlink ref="A43" location="instrRERate" display="Mtge Rate:"/>
    <hyperlink ref="A44" location="instrREPropertyTax" display="Property Tax Rate:"/>
    <hyperlink ref="A45" location="instrInsurance" display="Insurance:"/>
    <hyperlink ref="A46" location="instrMaintenance" display="Maintenance (or Rent):"/>
    <hyperlink ref="A47" location="instrREUtils" display="Utilities:"/>
    <hyperlink ref="A51" location="instrInvDesc" display="Description:"/>
    <hyperlink ref="A52" location="instrInvBal" display="Balance:"/>
    <hyperlink ref="A53" location="instrInvTRR" display="Total Return:"/>
    <hyperlink ref="A54" location="instrInvDiv" display="Dividend:"/>
    <hyperlink ref="A55" location="instrInvReb" display="Rebalance Target:"/>
    <hyperlink ref="A56" location="instrInvTaxDef" display="Tax Deferred:"/>
  </hyperlinks>
  <pageMargins left="0.7" right="0.7" top="0.75" bottom="0.75" header="0.3" footer="0.3"/>
  <pageSetup orientation="portrait" r:id="rId1"/>
  <ignoredErrors>
    <ignoredError sqref="G54:G5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X110"/>
  <sheetViews>
    <sheetView zoomScaleNormal="100" workbookViewId="0"/>
  </sheetViews>
  <sheetFormatPr defaultRowHeight="15" x14ac:dyDescent="0.25"/>
  <cols>
    <col min="2" max="3" width="14.28515625" customWidth="1"/>
    <col min="4" max="9" width="11.42578125" customWidth="1"/>
    <col min="10" max="10" width="13.85546875" bestFit="1" customWidth="1"/>
    <col min="11" max="11" width="1.5703125" customWidth="1"/>
    <col min="12" max="16" width="13.28515625" style="6" customWidth="1"/>
    <col min="17" max="17" width="1.5703125" customWidth="1"/>
  </cols>
  <sheetData>
    <row r="1" spans="1:17" ht="28.9" x14ac:dyDescent="0.55000000000000004">
      <c r="A1" s="11" t="s">
        <v>31</v>
      </c>
      <c r="C1" s="11"/>
      <c r="K1" s="24"/>
      <c r="Q1" s="24"/>
    </row>
    <row r="2" spans="1:17" ht="14.45" x14ac:dyDescent="0.3">
      <c r="A2" s="6"/>
      <c r="B2" s="6"/>
      <c r="C2" s="12" t="s">
        <v>30</v>
      </c>
      <c r="D2" s="63">
        <f>+Dashboard!B19</f>
        <v>100000</v>
      </c>
      <c r="E2" s="63">
        <f>+Dashboard!C19</f>
        <v>5000</v>
      </c>
      <c r="F2" s="63">
        <f>+Dashboard!D19</f>
        <v>0</v>
      </c>
      <c r="G2" s="63">
        <f>+Dashboard!E19</f>
        <v>25000</v>
      </c>
      <c r="H2" s="63">
        <f>+Dashboard!F19</f>
        <v>0</v>
      </c>
      <c r="I2" s="63">
        <f>+Dashboard!G19</f>
        <v>0</v>
      </c>
      <c r="J2" s="63">
        <f>+Dashboard!H19</f>
        <v>0</v>
      </c>
      <c r="K2" s="24"/>
      <c r="Q2" s="24"/>
    </row>
    <row r="3" spans="1:17" ht="28.9" x14ac:dyDescent="0.3">
      <c r="C3" s="13" t="s">
        <v>29</v>
      </c>
      <c r="D3" s="55">
        <f>+Dashboard!B20</f>
        <v>0.05</v>
      </c>
      <c r="E3" s="55">
        <f>+Dashboard!C20</f>
        <v>0.05</v>
      </c>
      <c r="F3" s="55">
        <f>+Dashboard!D20</f>
        <v>0</v>
      </c>
      <c r="G3" s="55">
        <f>+Dashboard!E20</f>
        <v>0</v>
      </c>
      <c r="H3" s="55">
        <f>+Dashboard!G20</f>
        <v>0</v>
      </c>
      <c r="I3" s="55">
        <f>+Dashboard!F20</f>
        <v>0</v>
      </c>
      <c r="J3" s="55">
        <f>+Dashboard!H20</f>
        <v>0</v>
      </c>
      <c r="K3" s="25"/>
      <c r="Q3" s="25"/>
    </row>
    <row r="4" spans="1:17" ht="14.45" x14ac:dyDescent="0.3">
      <c r="C4" s="13" t="s">
        <v>27</v>
      </c>
      <c r="D4" s="41">
        <f>+Dashboard!B21</f>
        <v>150000</v>
      </c>
      <c r="E4" s="41">
        <f>+Dashboard!C21</f>
        <v>25000</v>
      </c>
      <c r="F4" s="41" t="b">
        <f>+Dashboard!D21</f>
        <v>0</v>
      </c>
      <c r="G4" s="41" t="b">
        <f>+Dashboard!E21</f>
        <v>0</v>
      </c>
      <c r="H4" s="41" t="b">
        <f>+Dashboard!G21</f>
        <v>0</v>
      </c>
      <c r="I4" s="41" t="b">
        <f>+Dashboard!F21</f>
        <v>0</v>
      </c>
      <c r="J4" s="41" t="b">
        <f>+Dashboard!H21</f>
        <v>0</v>
      </c>
      <c r="K4" s="25"/>
      <c r="Q4" s="25"/>
    </row>
    <row r="5" spans="1:17" ht="14.45" x14ac:dyDescent="0.3">
      <c r="C5" s="10" t="s">
        <v>26</v>
      </c>
      <c r="D5" s="41" t="b">
        <f>+Dashboard!B22</f>
        <v>0</v>
      </c>
      <c r="E5" s="41" t="b">
        <f>+Dashboard!C22</f>
        <v>0</v>
      </c>
      <c r="F5" s="41" t="b">
        <f>+Dashboard!D22</f>
        <v>1</v>
      </c>
      <c r="G5" s="41" t="b">
        <f>+Dashboard!E22</f>
        <v>0</v>
      </c>
      <c r="H5" s="41" t="b">
        <f>+Dashboard!G22</f>
        <v>0</v>
      </c>
      <c r="I5" s="41" t="b">
        <f>+Dashboard!F22</f>
        <v>0</v>
      </c>
      <c r="J5" s="41" t="b">
        <f>+Dashboard!H22</f>
        <v>0</v>
      </c>
      <c r="K5" s="25"/>
      <c r="Q5" s="25"/>
    </row>
    <row r="6" spans="1:17" ht="14.45" x14ac:dyDescent="0.3">
      <c r="C6" s="13" t="s">
        <v>33</v>
      </c>
      <c r="D6" s="41">
        <f>+Dashboard!B23</f>
        <v>0</v>
      </c>
      <c r="E6" s="41">
        <f>+Dashboard!C23</f>
        <v>0</v>
      </c>
      <c r="F6" s="41">
        <f>+Dashboard!D23</f>
        <v>0</v>
      </c>
      <c r="G6" s="41">
        <f>+Dashboard!E23</f>
        <v>67</v>
      </c>
      <c r="H6" s="41">
        <f>+Dashboard!G23</f>
        <v>0</v>
      </c>
      <c r="I6" s="41">
        <f>+Dashboard!F23</f>
        <v>0</v>
      </c>
      <c r="J6" s="41">
        <f>+Dashboard!H23</f>
        <v>0</v>
      </c>
      <c r="K6" s="25"/>
      <c r="Q6" s="25"/>
    </row>
    <row r="7" spans="1:17" ht="14.45" x14ac:dyDescent="0.3">
      <c r="C7" s="13" t="s">
        <v>32</v>
      </c>
      <c r="D7" s="41">
        <f>+Dashboard!B24</f>
        <v>67</v>
      </c>
      <c r="E7" s="41">
        <f>+Dashboard!C24</f>
        <v>67</v>
      </c>
      <c r="F7" s="41">
        <f>+Dashboard!D24</f>
        <v>99</v>
      </c>
      <c r="G7" s="41">
        <f>+Dashboard!E24</f>
        <v>999</v>
      </c>
      <c r="H7" s="41">
        <f>+Dashboard!G24</f>
        <v>67</v>
      </c>
      <c r="I7" s="41">
        <f>+Dashboard!F24</f>
        <v>67</v>
      </c>
      <c r="J7" s="41">
        <f>+Dashboard!H24</f>
        <v>67</v>
      </c>
      <c r="K7" s="25"/>
      <c r="Q7" s="25"/>
    </row>
    <row r="8" spans="1:17" ht="14.45" x14ac:dyDescent="0.3">
      <c r="D8" s="16"/>
      <c r="E8" s="16"/>
      <c r="F8" s="16"/>
      <c r="G8" s="16"/>
      <c r="H8" s="16"/>
      <c r="I8" s="16"/>
      <c r="J8" s="16"/>
      <c r="K8" s="25"/>
      <c r="Q8" s="25"/>
    </row>
    <row r="9" spans="1:17" ht="28.9" x14ac:dyDescent="0.3">
      <c r="A9" s="19" t="s">
        <v>5</v>
      </c>
      <c r="B9" s="19" t="s">
        <v>4</v>
      </c>
      <c r="C9" s="21" t="s">
        <v>84</v>
      </c>
      <c r="D9" s="86" t="str">
        <f>+Dashboard!B18</f>
        <v>Salary</v>
      </c>
      <c r="E9" s="86" t="str">
        <f>+Dashboard!C18</f>
        <v>Bonus</v>
      </c>
      <c r="F9" s="86" t="str">
        <f>+Dashboard!D18</f>
        <v>SideBiz</v>
      </c>
      <c r="G9" s="86" t="str">
        <f>+Dashboard!E18</f>
        <v>Social Security</v>
      </c>
      <c r="H9" s="86" t="str">
        <f>+Dashboard!F18</f>
        <v>-</v>
      </c>
      <c r="I9" s="86" t="str">
        <f>+Dashboard!G18</f>
        <v>-</v>
      </c>
      <c r="J9" s="86" t="str">
        <f>+Dashboard!H18</f>
        <v>-</v>
      </c>
      <c r="K9" s="25"/>
      <c r="L9" s="21" t="s">
        <v>106</v>
      </c>
      <c r="M9" s="21" t="s">
        <v>145</v>
      </c>
      <c r="N9" s="21" t="s">
        <v>212</v>
      </c>
      <c r="O9" s="21" t="s">
        <v>208</v>
      </c>
      <c r="P9" s="21" t="s">
        <v>1</v>
      </c>
      <c r="Q9" s="25"/>
    </row>
    <row r="10" spans="1:17" ht="14.45" x14ac:dyDescent="0.3">
      <c r="A10" s="14">
        <v>0</v>
      </c>
      <c r="B10" s="14">
        <f>+age+A10</f>
        <v>40</v>
      </c>
      <c r="C10" s="38">
        <f t="shared" ref="C10:C41" si="0">+(1+inflation)^A10</f>
        <v>1</v>
      </c>
      <c r="D10" s="17"/>
      <c r="E10" s="17"/>
      <c r="F10" s="17"/>
      <c r="G10" s="17"/>
      <c r="H10" s="17"/>
      <c r="I10" s="17"/>
      <c r="J10" s="17"/>
      <c r="K10" s="25"/>
      <c r="L10" s="17"/>
      <c r="M10" s="17"/>
      <c r="N10" s="17"/>
      <c r="O10" s="17"/>
      <c r="P10" s="38">
        <f ca="1">+P11</f>
        <v>0.19605984555984554</v>
      </c>
      <c r="Q10" s="25"/>
    </row>
    <row r="11" spans="1:17" ht="14.45" x14ac:dyDescent="0.3">
      <c r="A11" s="14">
        <f>+A10+1</f>
        <v>1</v>
      </c>
      <c r="B11" s="14">
        <f>+B10+1</f>
        <v>41</v>
      </c>
      <c r="C11" s="38">
        <f t="shared" si="0"/>
        <v>1.02</v>
      </c>
      <c r="D11" s="17">
        <f t="shared" ref="D11:D26" si="1">IF(OR($B11&gt;D$7,$B11&lt;D$6),0,IF(D$4,MIN(D$4,D$2*(1+D$3)^$A11),D$2*(1+D$3)^$A11))*$C11</f>
        <v>107100</v>
      </c>
      <c r="E11" s="17">
        <f t="shared" ref="E11:J25" si="2">IF(OR($B11&gt;E$7,$B11&lt;E$6),0,IF(E$4,MIN(E$4,E$2*(1+E$3)^$A11),E$2*(1+E$3)^$A11))*$C11</f>
        <v>5355</v>
      </c>
      <c r="F11" s="17">
        <f t="shared" si="2"/>
        <v>0</v>
      </c>
      <c r="G11" s="17">
        <f t="shared" si="2"/>
        <v>0</v>
      </c>
      <c r="H11" s="17">
        <f t="shared" ref="H11:H41" si="3">IF(OR($B11&gt;H$7,$B11&lt;H$6),0,IF(H$4,MIN(H$4,H$2*(1+H$3)^$A11),H$2*(1+H$3)^$A11))*$C11</f>
        <v>0</v>
      </c>
      <c r="I11" s="17">
        <f t="shared" si="2"/>
        <v>0</v>
      </c>
      <c r="J11" s="17">
        <f t="shared" si="2"/>
        <v>0</v>
      </c>
      <c r="K11" s="25"/>
      <c r="L11" s="17">
        <f ca="1">+Taxes!Q17</f>
        <v>115255</v>
      </c>
      <c r="M11" s="17">
        <f>+SUM(D11:J11)+Investments!P12</f>
        <v>115255</v>
      </c>
      <c r="N11" s="17">
        <f ca="1">+Taxes!AA17</f>
        <v>22596.877499999999</v>
      </c>
      <c r="O11" s="17">
        <f ca="1">+M11-N11</f>
        <v>92658.122499999998</v>
      </c>
      <c r="P11" s="38">
        <f ca="1">IF(M11&lt;0,"NA",+IFERROR(IF(N11/(M11-Taxes!N17)&lt;0,"NA",N11/(M11-Taxes!N17)),"NA"))</f>
        <v>0.19605984555984554</v>
      </c>
      <c r="Q11" s="25"/>
    </row>
    <row r="12" spans="1:17" ht="14.45" x14ac:dyDescent="0.3">
      <c r="A12" s="14">
        <f t="shared" ref="A12:B75" si="4">+A11+1</f>
        <v>2</v>
      </c>
      <c r="B12" s="14">
        <f t="shared" si="4"/>
        <v>42</v>
      </c>
      <c r="C12" s="38">
        <f t="shared" si="0"/>
        <v>1.0404</v>
      </c>
      <c r="D12" s="17">
        <f t="shared" si="1"/>
        <v>114704.1</v>
      </c>
      <c r="E12" s="17">
        <f t="shared" si="2"/>
        <v>5735.2049999999999</v>
      </c>
      <c r="F12" s="17">
        <f t="shared" si="2"/>
        <v>0</v>
      </c>
      <c r="G12" s="17">
        <f t="shared" si="2"/>
        <v>0</v>
      </c>
      <c r="H12" s="17">
        <f t="shared" si="3"/>
        <v>0</v>
      </c>
      <c r="I12" s="17">
        <f t="shared" si="2"/>
        <v>0</v>
      </c>
      <c r="J12" s="17">
        <f t="shared" si="2"/>
        <v>0</v>
      </c>
      <c r="K12" s="25"/>
      <c r="L12" s="17">
        <f ca="1">+Taxes!Q18</f>
        <v>115395.5529939214</v>
      </c>
      <c r="M12" s="17">
        <f ca="1">+SUM(D12:J12)+Investments!P13</f>
        <v>123258.61984373022</v>
      </c>
      <c r="N12" s="17">
        <f ca="1">+Taxes!AA18</f>
        <v>22298.799512393773</v>
      </c>
      <c r="O12" s="17">
        <f t="shared" ref="O12:O15" ca="1" si="5">+M12-N12</f>
        <v>100959.82033133645</v>
      </c>
      <c r="P12" s="38">
        <f ca="1">IF(M12&lt;0,"NA",+IFERROR(IF(N12/(M12-Taxes!N18)&lt;0,"NA",N12/(M12-Taxes!N18)),"NA"))</f>
        <v>0.19323794491082674</v>
      </c>
      <c r="Q12" s="25"/>
    </row>
    <row r="13" spans="1:17" ht="14.45" x14ac:dyDescent="0.3">
      <c r="A13" s="14">
        <f t="shared" si="4"/>
        <v>3</v>
      </c>
      <c r="B13" s="14">
        <f t="shared" si="4"/>
        <v>43</v>
      </c>
      <c r="C13" s="38">
        <f t="shared" si="0"/>
        <v>1.0612079999999999</v>
      </c>
      <c r="D13" s="17">
        <f t="shared" si="1"/>
        <v>122848.09110000001</v>
      </c>
      <c r="E13" s="17">
        <f t="shared" si="2"/>
        <v>6142.404555000001</v>
      </c>
      <c r="F13" s="17">
        <f t="shared" si="2"/>
        <v>0</v>
      </c>
      <c r="G13" s="17">
        <f t="shared" si="2"/>
        <v>0</v>
      </c>
      <c r="H13" s="17">
        <f t="shared" si="3"/>
        <v>0</v>
      </c>
      <c r="I13" s="17">
        <f t="shared" si="2"/>
        <v>0</v>
      </c>
      <c r="J13" s="17">
        <f t="shared" si="2"/>
        <v>0</v>
      </c>
      <c r="K13" s="25"/>
      <c r="L13" s="17">
        <f ca="1">+Taxes!Q19</f>
        <v>119574.06835637253</v>
      </c>
      <c r="M13" s="17">
        <f ca="1">+SUM(D13:J13)+Investments!P14</f>
        <v>131820.0104987302</v>
      </c>
      <c r="N13" s="17">
        <f ca="1">+Taxes!AA19</f>
        <v>23392.939893483082</v>
      </c>
      <c r="O13" s="17">
        <f t="shared" ca="1" si="5"/>
        <v>108427.07060524712</v>
      </c>
      <c r="P13" s="38">
        <f ca="1">IF(M13&lt;0,"NA",+IFERROR(IF(N13/(M13-Taxes!N19)&lt;0,"NA",N13/(M13-Taxes!N19)),"NA"))</f>
        <v>0.19563556057793352</v>
      </c>
      <c r="Q13" s="25"/>
    </row>
    <row r="14" spans="1:17" ht="14.45" x14ac:dyDescent="0.3">
      <c r="A14" s="14">
        <f t="shared" si="4"/>
        <v>4</v>
      </c>
      <c r="B14" s="14">
        <f t="shared" si="4"/>
        <v>44</v>
      </c>
      <c r="C14" s="38">
        <f t="shared" si="0"/>
        <v>1.08243216</v>
      </c>
      <c r="D14" s="17">
        <f t="shared" si="1"/>
        <v>131570.30556810001</v>
      </c>
      <c r="E14" s="17">
        <f t="shared" si="2"/>
        <v>6578.5152784049997</v>
      </c>
      <c r="F14" s="17">
        <f t="shared" si="2"/>
        <v>0</v>
      </c>
      <c r="G14" s="17">
        <f t="shared" si="2"/>
        <v>0</v>
      </c>
      <c r="H14" s="17">
        <f t="shared" si="3"/>
        <v>0</v>
      </c>
      <c r="I14" s="17">
        <f t="shared" si="2"/>
        <v>0</v>
      </c>
      <c r="J14" s="17">
        <f t="shared" si="2"/>
        <v>0</v>
      </c>
      <c r="K14" s="25"/>
      <c r="L14" s="17">
        <f ca="1">+Taxes!Q20</f>
        <v>124018.77694414655</v>
      </c>
      <c r="M14" s="17">
        <f ca="1">+SUM(D14:J14)+Investments!P15</f>
        <v>140988.7396902352</v>
      </c>
      <c r="N14" s="17">
        <f ca="1">+Taxes!AA20</f>
        <v>24572.241923306778</v>
      </c>
      <c r="O14" s="17">
        <f t="shared" ca="1" si="5"/>
        <v>116416.49776692843</v>
      </c>
      <c r="P14" s="38">
        <f ca="1">IF(M14&lt;0,"NA",+IFERROR(IF(N14/(M14-Taxes!N20)&lt;0,"NA",N14/(M14-Taxes!N20)),"NA"))</f>
        <v>0.1981332386012257</v>
      </c>
      <c r="Q14" s="25"/>
    </row>
    <row r="15" spans="1:17" ht="14.45" x14ac:dyDescent="0.3">
      <c r="A15" s="14">
        <f t="shared" si="4"/>
        <v>5</v>
      </c>
      <c r="B15" s="14">
        <f t="shared" si="4"/>
        <v>45</v>
      </c>
      <c r="C15" s="38">
        <f t="shared" si="0"/>
        <v>1.1040808032</v>
      </c>
      <c r="D15" s="17">
        <f t="shared" si="1"/>
        <v>140911.79726343512</v>
      </c>
      <c r="E15" s="17">
        <f t="shared" si="2"/>
        <v>7045.5898631717555</v>
      </c>
      <c r="F15" s="17">
        <f t="shared" si="2"/>
        <v>0</v>
      </c>
      <c r="G15" s="17">
        <f t="shared" si="2"/>
        <v>0</v>
      </c>
      <c r="H15" s="17">
        <f t="shared" si="3"/>
        <v>0</v>
      </c>
      <c r="I15" s="17">
        <f t="shared" si="2"/>
        <v>0</v>
      </c>
      <c r="J15" s="17">
        <f t="shared" si="2"/>
        <v>0</v>
      </c>
      <c r="K15" s="25"/>
      <c r="L15" s="17">
        <f ca="1">+Taxes!Q21</f>
        <v>133142.62519913705</v>
      </c>
      <c r="M15" s="17">
        <f ca="1">+SUM(D15:J15)+Investments!P16</f>
        <v>150807.91805033706</v>
      </c>
      <c r="N15" s="17">
        <f ca="1">+Taxes!AA21</f>
        <v>27365.650057904189</v>
      </c>
      <c r="O15" s="17">
        <f t="shared" ca="1" si="5"/>
        <v>123442.26799243287</v>
      </c>
      <c r="P15" s="38">
        <f ca="1">IF(M15&lt;0,"NA",+IFERROR(IF(N15/(M15-Taxes!N21)&lt;0,"NA",N15/(M15-Taxes!N21)),"NA"))</f>
        <v>0.20553635634699471</v>
      </c>
      <c r="Q15" s="25"/>
    </row>
    <row r="16" spans="1:17" ht="14.45" x14ac:dyDescent="0.3">
      <c r="A16" s="14">
        <f t="shared" si="4"/>
        <v>6</v>
      </c>
      <c r="B16" s="14">
        <f t="shared" si="4"/>
        <v>46</v>
      </c>
      <c r="C16" s="38">
        <f t="shared" si="0"/>
        <v>1.1261624192640001</v>
      </c>
      <c r="D16" s="17">
        <f t="shared" si="1"/>
        <v>150916.534869139</v>
      </c>
      <c r="E16" s="17">
        <f t="shared" si="2"/>
        <v>7545.8267434569498</v>
      </c>
      <c r="F16" s="17">
        <f t="shared" si="2"/>
        <v>0</v>
      </c>
      <c r="G16" s="17">
        <f t="shared" si="2"/>
        <v>0</v>
      </c>
      <c r="H16" s="17">
        <f t="shared" si="3"/>
        <v>0</v>
      </c>
      <c r="I16" s="17">
        <f t="shared" si="2"/>
        <v>0</v>
      </c>
      <c r="J16" s="17">
        <f t="shared" si="2"/>
        <v>0</v>
      </c>
      <c r="K16" s="25"/>
      <c r="L16" s="17" t="str">
        <f ca="1">IF(Message&lt;&gt;"",Message,+Taxes!Q22)</f>
        <v>EXPIRED</v>
      </c>
      <c r="M16" s="17" t="str">
        <f ca="1">IF(Message&lt;&gt;"","--",+SUM(D16:J16)+Investments!P17)</f>
        <v>--</v>
      </c>
      <c r="N16" s="17" t="str">
        <f ca="1">IF(Message&lt;&gt;"",Message,+Taxes!AA22)</f>
        <v>EXPIRED</v>
      </c>
      <c r="O16" s="17" t="str">
        <f t="shared" ref="O16:O47" ca="1" si="6">IF(Message&lt;&gt;"","--",+M16-N16)</f>
        <v>--</v>
      </c>
      <c r="P16" s="38" t="str">
        <f ca="1">IF(Message&lt;&gt;"",Message,IF(M16&lt;0,"NA",+IFERROR(IF(N16/(M16-Taxes!N22)&lt;0,"NA",N16/(M16-Taxes!N22)),"NA")))</f>
        <v>EXPIRED</v>
      </c>
      <c r="Q16" s="25"/>
    </row>
    <row r="17" spans="1:128" ht="14.45" x14ac:dyDescent="0.3">
      <c r="A17" s="14">
        <f t="shared" si="4"/>
        <v>7</v>
      </c>
      <c r="B17" s="14">
        <f t="shared" si="4"/>
        <v>47</v>
      </c>
      <c r="C17" s="38">
        <f t="shared" si="0"/>
        <v>1.1486856676492798</v>
      </c>
      <c r="D17" s="17">
        <f t="shared" si="1"/>
        <v>161631.60884484788</v>
      </c>
      <c r="E17" s="17">
        <f t="shared" si="2"/>
        <v>8081.5804422423926</v>
      </c>
      <c r="F17" s="17">
        <f t="shared" si="2"/>
        <v>0</v>
      </c>
      <c r="G17" s="17">
        <f t="shared" si="2"/>
        <v>0</v>
      </c>
      <c r="H17" s="17">
        <f t="shared" si="3"/>
        <v>0</v>
      </c>
      <c r="I17" s="17">
        <f t="shared" si="2"/>
        <v>0</v>
      </c>
      <c r="J17" s="17">
        <f t="shared" si="2"/>
        <v>0</v>
      </c>
      <c r="K17" s="25"/>
      <c r="L17" s="17" t="str">
        <f ca="1">IF(Message&lt;&gt;"",Message,+Taxes!Q23)</f>
        <v>EXPIRED</v>
      </c>
      <c r="M17" s="17" t="str">
        <f ca="1">IF(Message&lt;&gt;"","--",+SUM(D17:J17)+Investments!P18)</f>
        <v>--</v>
      </c>
      <c r="N17" s="17" t="str">
        <f ca="1">IF(Message&lt;&gt;"",Message,+Taxes!AA23)</f>
        <v>EXPIRED</v>
      </c>
      <c r="O17" s="17" t="str">
        <f t="shared" ca="1" si="6"/>
        <v>--</v>
      </c>
      <c r="P17" s="38" t="str">
        <f ca="1">IF(Message&lt;&gt;"",Message,IF(M17&lt;0,"NA",+IFERROR(IF(N17/(M17-Taxes!N23)&lt;0,"NA",N17/(M17-Taxes!N23)),"NA")))</f>
        <v>EXPIRED</v>
      </c>
      <c r="Q17" s="25"/>
    </row>
    <row r="18" spans="1:128" ht="14.45" x14ac:dyDescent="0.3">
      <c r="A18" s="14">
        <f t="shared" si="4"/>
        <v>8</v>
      </c>
      <c r="B18" s="14">
        <f t="shared" si="4"/>
        <v>48</v>
      </c>
      <c r="C18" s="38">
        <f t="shared" si="0"/>
        <v>1.1716593810022655</v>
      </c>
      <c r="D18" s="17">
        <f t="shared" si="1"/>
        <v>173107.45307283205</v>
      </c>
      <c r="E18" s="17">
        <f t="shared" si="2"/>
        <v>8655.3726536416016</v>
      </c>
      <c r="F18" s="17">
        <f t="shared" si="2"/>
        <v>0</v>
      </c>
      <c r="G18" s="17">
        <f t="shared" si="2"/>
        <v>0</v>
      </c>
      <c r="H18" s="17">
        <f t="shared" si="3"/>
        <v>0</v>
      </c>
      <c r="I18" s="17">
        <f t="shared" si="2"/>
        <v>0</v>
      </c>
      <c r="J18" s="17">
        <f t="shared" si="2"/>
        <v>0</v>
      </c>
      <c r="K18" s="25"/>
      <c r="L18" s="17" t="str">
        <f ca="1">IF(Message&lt;&gt;"",Message,+Taxes!Q24)</f>
        <v>EXPIRED</v>
      </c>
      <c r="M18" s="17" t="str">
        <f ca="1">IF(Message&lt;&gt;"","--",+SUM(D18:J18)+Investments!P19)</f>
        <v>--</v>
      </c>
      <c r="N18" s="17" t="str">
        <f ca="1">IF(Message&lt;&gt;"",Message,+Taxes!AA24)</f>
        <v>EXPIRED</v>
      </c>
      <c r="O18" s="17" t="str">
        <f t="shared" ca="1" si="6"/>
        <v>--</v>
      </c>
      <c r="P18" s="38" t="str">
        <f ca="1">IF(Message&lt;&gt;"",Message,IF(M18&lt;0,"NA",+IFERROR(IF(N18/(M18-Taxes!N24)&lt;0,"NA",N18/(M18-Taxes!N24)),"NA")))</f>
        <v>EXPIRED</v>
      </c>
      <c r="Q18" s="25"/>
    </row>
    <row r="19" spans="1:128" ht="14.45" x14ac:dyDescent="0.3">
      <c r="A19" s="14">
        <f t="shared" si="4"/>
        <v>9</v>
      </c>
      <c r="B19" s="14">
        <f t="shared" si="4"/>
        <v>49</v>
      </c>
      <c r="C19" s="38">
        <f t="shared" si="0"/>
        <v>1.1950925686223108</v>
      </c>
      <c r="D19" s="17">
        <f t="shared" si="1"/>
        <v>179263.88529334663</v>
      </c>
      <c r="E19" s="17">
        <f t="shared" si="2"/>
        <v>9269.904112050157</v>
      </c>
      <c r="F19" s="17">
        <f t="shared" si="2"/>
        <v>0</v>
      </c>
      <c r="G19" s="17">
        <f t="shared" si="2"/>
        <v>0</v>
      </c>
      <c r="H19" s="17">
        <f t="shared" si="3"/>
        <v>0</v>
      </c>
      <c r="I19" s="17">
        <f t="shared" si="2"/>
        <v>0</v>
      </c>
      <c r="J19" s="17">
        <f t="shared" si="2"/>
        <v>0</v>
      </c>
      <c r="K19" s="25"/>
      <c r="L19" s="17" t="str">
        <f ca="1">IF(Message&lt;&gt;"",Message,+Taxes!Q25)</f>
        <v>EXPIRED</v>
      </c>
      <c r="M19" s="17" t="str">
        <f ca="1">IF(Message&lt;&gt;"","--",+SUM(D19:J19)+Investments!P20)</f>
        <v>--</v>
      </c>
      <c r="N19" s="17" t="str">
        <f ca="1">IF(Message&lt;&gt;"",Message,+Taxes!AA25)</f>
        <v>EXPIRED</v>
      </c>
      <c r="O19" s="17" t="str">
        <f t="shared" ca="1" si="6"/>
        <v>--</v>
      </c>
      <c r="P19" s="38" t="str">
        <f ca="1">IF(Message&lt;&gt;"",Message,IF(M19&lt;0,"NA",+IFERROR(IF(N19/(M19-Taxes!N25)&lt;0,"NA",N19/(M19-Taxes!N25)),"NA")))</f>
        <v>EXPIRED</v>
      </c>
      <c r="Q19" s="25"/>
    </row>
    <row r="20" spans="1:128" ht="14.45" x14ac:dyDescent="0.3">
      <c r="A20" s="14">
        <f t="shared" si="4"/>
        <v>10</v>
      </c>
      <c r="B20" s="14">
        <f t="shared" si="4"/>
        <v>50</v>
      </c>
      <c r="C20" s="38">
        <f t="shared" si="0"/>
        <v>1.2189944199947571</v>
      </c>
      <c r="D20" s="17">
        <f t="shared" si="1"/>
        <v>182849.16299921356</v>
      </c>
      <c r="E20" s="17">
        <f t="shared" si="2"/>
        <v>9928.0673040057191</v>
      </c>
      <c r="F20" s="17">
        <f t="shared" si="2"/>
        <v>0</v>
      </c>
      <c r="G20" s="17">
        <f t="shared" si="2"/>
        <v>0</v>
      </c>
      <c r="H20" s="17">
        <f t="shared" si="3"/>
        <v>0</v>
      </c>
      <c r="I20" s="17">
        <f t="shared" si="2"/>
        <v>0</v>
      </c>
      <c r="J20" s="17">
        <f t="shared" si="2"/>
        <v>0</v>
      </c>
      <c r="K20" s="25"/>
      <c r="L20" s="17" t="str">
        <f ca="1">IF(Message&lt;&gt;"",Message,+Taxes!Q26)</f>
        <v>EXPIRED</v>
      </c>
      <c r="M20" s="17" t="str">
        <f ca="1">IF(Message&lt;&gt;"","--",+SUM(D20:J20)+Investments!P21)</f>
        <v>--</v>
      </c>
      <c r="N20" s="17" t="str">
        <f ca="1">IF(Message&lt;&gt;"",Message,+Taxes!AA26)</f>
        <v>EXPIRED</v>
      </c>
      <c r="O20" s="17" t="str">
        <f t="shared" ca="1" si="6"/>
        <v>--</v>
      </c>
      <c r="P20" s="38" t="str">
        <f ca="1">IF(Message&lt;&gt;"",Message,IF(M20&lt;0,"NA",+IFERROR(IF(N20/(M20-Taxes!N26)&lt;0,"NA",N20/(M20-Taxes!N26)),"NA")))</f>
        <v>EXPIRED</v>
      </c>
      <c r="Q20" s="25"/>
    </row>
    <row r="21" spans="1:128" ht="14.45" x14ac:dyDescent="0.3">
      <c r="A21" s="14">
        <f t="shared" si="4"/>
        <v>11</v>
      </c>
      <c r="B21" s="14">
        <f t="shared" si="4"/>
        <v>51</v>
      </c>
      <c r="C21" s="38">
        <f t="shared" si="0"/>
        <v>1.243374308394652</v>
      </c>
      <c r="D21" s="17">
        <f t="shared" si="1"/>
        <v>186506.14625919779</v>
      </c>
      <c r="E21" s="17">
        <f t="shared" si="2"/>
        <v>10632.960082590123</v>
      </c>
      <c r="F21" s="17">
        <f t="shared" si="2"/>
        <v>0</v>
      </c>
      <c r="G21" s="17">
        <f t="shared" si="2"/>
        <v>0</v>
      </c>
      <c r="H21" s="17">
        <f t="shared" si="3"/>
        <v>0</v>
      </c>
      <c r="I21" s="17">
        <f t="shared" si="2"/>
        <v>0</v>
      </c>
      <c r="J21" s="17">
        <f t="shared" si="2"/>
        <v>0</v>
      </c>
      <c r="K21" s="25"/>
      <c r="L21" s="17" t="str">
        <f ca="1">IF(Message&lt;&gt;"",Message,+Taxes!Q27)</f>
        <v>EXPIRED</v>
      </c>
      <c r="M21" s="17" t="str">
        <f ca="1">IF(Message&lt;&gt;"","--",+SUM(D21:J21)+Investments!P22)</f>
        <v>--</v>
      </c>
      <c r="N21" s="17" t="str">
        <f ca="1">IF(Message&lt;&gt;"",Message,+Taxes!AA27)</f>
        <v>EXPIRED</v>
      </c>
      <c r="O21" s="17" t="str">
        <f t="shared" ca="1" si="6"/>
        <v>--</v>
      </c>
      <c r="P21" s="38" t="str">
        <f ca="1">IF(Message&lt;&gt;"",Message,IF(M21&lt;0,"NA",+IFERROR(IF(N21/(M21-Taxes!N27)&lt;0,"NA",N21/(M21-Taxes!N27)),"NA")))</f>
        <v>EXPIRED</v>
      </c>
      <c r="Q21" s="25"/>
    </row>
    <row r="22" spans="1:128" ht="14.45" x14ac:dyDescent="0.3">
      <c r="A22" s="14">
        <f t="shared" si="4"/>
        <v>12</v>
      </c>
      <c r="B22" s="14">
        <f t="shared" si="4"/>
        <v>52</v>
      </c>
      <c r="C22" s="38">
        <f t="shared" si="0"/>
        <v>1.2682417945625453</v>
      </c>
      <c r="D22" s="17">
        <f t="shared" si="1"/>
        <v>190236.26918438179</v>
      </c>
      <c r="E22" s="17">
        <f t="shared" si="2"/>
        <v>11387.900248454023</v>
      </c>
      <c r="F22" s="17">
        <f t="shared" si="2"/>
        <v>0</v>
      </c>
      <c r="G22" s="17">
        <f t="shared" si="2"/>
        <v>0</v>
      </c>
      <c r="H22" s="17">
        <f t="shared" si="3"/>
        <v>0</v>
      </c>
      <c r="I22" s="17">
        <f t="shared" si="2"/>
        <v>0</v>
      </c>
      <c r="J22" s="17">
        <f t="shared" si="2"/>
        <v>0</v>
      </c>
      <c r="K22" s="25"/>
      <c r="L22" s="17" t="str">
        <f ca="1">IF(Message&lt;&gt;"",Message,+Taxes!Q28)</f>
        <v>EXPIRED</v>
      </c>
      <c r="M22" s="17" t="str">
        <f ca="1">IF(Message&lt;&gt;"","--",+SUM(D22:J22)+Investments!P23)</f>
        <v>--</v>
      </c>
      <c r="N22" s="17" t="str">
        <f ca="1">IF(Message&lt;&gt;"",Message,+Taxes!AA28)</f>
        <v>EXPIRED</v>
      </c>
      <c r="O22" s="17" t="str">
        <f t="shared" ca="1" si="6"/>
        <v>--</v>
      </c>
      <c r="P22" s="38" t="str">
        <f ca="1">IF(Message&lt;&gt;"",Message,IF(M22&lt;0,"NA",+IFERROR(IF(N22/(M22-Taxes!N28)&lt;0,"NA",N22/(M22-Taxes!N28)),"NA")))</f>
        <v>EXPIRED</v>
      </c>
      <c r="Q22" s="25"/>
    </row>
    <row r="23" spans="1:128" ht="14.45" x14ac:dyDescent="0.3">
      <c r="A23" s="14">
        <f t="shared" si="4"/>
        <v>13</v>
      </c>
      <c r="B23" s="14">
        <f t="shared" si="4"/>
        <v>53</v>
      </c>
      <c r="C23" s="38">
        <f t="shared" si="0"/>
        <v>1.2936066304537961</v>
      </c>
      <c r="D23" s="17">
        <f t="shared" si="1"/>
        <v>194040.99456806941</v>
      </c>
      <c r="E23" s="17">
        <f t="shared" si="2"/>
        <v>12196.441166094261</v>
      </c>
      <c r="F23" s="17">
        <f t="shared" si="2"/>
        <v>0</v>
      </c>
      <c r="G23" s="17">
        <f t="shared" si="2"/>
        <v>0</v>
      </c>
      <c r="H23" s="17">
        <f t="shared" si="3"/>
        <v>0</v>
      </c>
      <c r="I23" s="17">
        <f t="shared" si="2"/>
        <v>0</v>
      </c>
      <c r="J23" s="17">
        <f t="shared" si="2"/>
        <v>0</v>
      </c>
      <c r="K23" s="25"/>
      <c r="L23" s="17" t="str">
        <f ca="1">IF(Message&lt;&gt;"",Message,+Taxes!Q29)</f>
        <v>EXPIRED</v>
      </c>
      <c r="M23" s="17" t="str">
        <f ca="1">IF(Message&lt;&gt;"","--",+SUM(D23:J23)+Investments!P24)</f>
        <v>--</v>
      </c>
      <c r="N23" s="17" t="str">
        <f ca="1">IF(Message&lt;&gt;"",Message,+Taxes!AA29)</f>
        <v>EXPIRED</v>
      </c>
      <c r="O23" s="17" t="str">
        <f t="shared" ca="1" si="6"/>
        <v>--</v>
      </c>
      <c r="P23" s="38" t="str">
        <f ca="1">IF(Message&lt;&gt;"",Message,IF(M23&lt;0,"NA",+IFERROR(IF(N23/(M23-Taxes!N29)&lt;0,"NA",N23/(M23-Taxes!N29)),"NA")))</f>
        <v>EXPIRED</v>
      </c>
      <c r="Q23" s="25"/>
    </row>
    <row r="24" spans="1:128" ht="14.45" x14ac:dyDescent="0.3">
      <c r="A24" s="14">
        <f t="shared" si="4"/>
        <v>14</v>
      </c>
      <c r="B24" s="14">
        <f t="shared" si="4"/>
        <v>54</v>
      </c>
      <c r="C24" s="38">
        <f t="shared" si="0"/>
        <v>1.3194787630628722</v>
      </c>
      <c r="D24" s="17">
        <f t="shared" si="1"/>
        <v>197921.81445943081</v>
      </c>
      <c r="E24" s="17">
        <f t="shared" si="2"/>
        <v>13062.388488886949</v>
      </c>
      <c r="F24" s="17">
        <f t="shared" si="2"/>
        <v>0</v>
      </c>
      <c r="G24" s="17">
        <f t="shared" si="2"/>
        <v>0</v>
      </c>
      <c r="H24" s="17">
        <f t="shared" si="3"/>
        <v>0</v>
      </c>
      <c r="I24" s="17">
        <f t="shared" si="2"/>
        <v>0</v>
      </c>
      <c r="J24" s="17">
        <f t="shared" si="2"/>
        <v>0</v>
      </c>
      <c r="K24" s="25"/>
      <c r="L24" s="17" t="str">
        <f ca="1">IF(Message&lt;&gt;"",Message,+Taxes!Q30)</f>
        <v>EXPIRED</v>
      </c>
      <c r="M24" s="17" t="str">
        <f ca="1">IF(Message&lt;&gt;"","--",+SUM(D24:J24)+Investments!P25)</f>
        <v>--</v>
      </c>
      <c r="N24" s="17" t="str">
        <f ca="1">IF(Message&lt;&gt;"",Message,+Taxes!AA30)</f>
        <v>EXPIRED</v>
      </c>
      <c r="O24" s="17" t="str">
        <f t="shared" ca="1" si="6"/>
        <v>--</v>
      </c>
      <c r="P24" s="38" t="str">
        <f ca="1">IF(Message&lt;&gt;"",Message,IF(M24&lt;0,"NA",+IFERROR(IF(N24/(M24-Taxes!N30)&lt;0,"NA",N24/(M24-Taxes!N30)),"NA")))</f>
        <v>EXPIRED</v>
      </c>
      <c r="Q24" s="25"/>
      <c r="DP24" s="6"/>
      <c r="DQ24" s="6"/>
      <c r="DR24" s="6"/>
      <c r="DS24" s="6"/>
      <c r="DT24" s="6"/>
      <c r="DU24" s="6"/>
      <c r="DV24" s="6"/>
      <c r="DW24" s="6"/>
      <c r="DX24" s="6"/>
    </row>
    <row r="25" spans="1:128" ht="14.45" x14ac:dyDescent="0.3">
      <c r="A25" s="14">
        <f t="shared" si="4"/>
        <v>15</v>
      </c>
      <c r="B25" s="14">
        <f t="shared" si="4"/>
        <v>55</v>
      </c>
      <c r="C25" s="38">
        <f t="shared" si="0"/>
        <v>1.3458683383241292</v>
      </c>
      <c r="D25" s="17">
        <f t="shared" si="1"/>
        <v>201880.25074861938</v>
      </c>
      <c r="E25" s="17">
        <f t="shared" si="2"/>
        <v>13989.818071597923</v>
      </c>
      <c r="F25" s="17">
        <f t="shared" si="2"/>
        <v>0</v>
      </c>
      <c r="G25" s="17">
        <f t="shared" si="2"/>
        <v>0</v>
      </c>
      <c r="H25" s="17">
        <f t="shared" si="3"/>
        <v>0</v>
      </c>
      <c r="I25" s="17">
        <f t="shared" si="2"/>
        <v>0</v>
      </c>
      <c r="J25" s="17">
        <f t="shared" si="2"/>
        <v>0</v>
      </c>
      <c r="K25" s="25"/>
      <c r="L25" s="17" t="str">
        <f ca="1">IF(Message&lt;&gt;"",Message,+Taxes!Q31)</f>
        <v>EXPIRED</v>
      </c>
      <c r="M25" s="17" t="str">
        <f ca="1">IF(Message&lt;&gt;"","--",+SUM(D25:J25)+Investments!P26)</f>
        <v>--</v>
      </c>
      <c r="N25" s="17" t="str">
        <f ca="1">IF(Message&lt;&gt;"",Message,+Taxes!AA31)</f>
        <v>EXPIRED</v>
      </c>
      <c r="O25" s="17" t="str">
        <f t="shared" ca="1" si="6"/>
        <v>--</v>
      </c>
      <c r="P25" s="38" t="str">
        <f ca="1">IF(Message&lt;&gt;"",Message,IF(M25&lt;0,"NA",+IFERROR(IF(N25/(M25-Taxes!N31)&lt;0,"NA",N25/(M25-Taxes!N31)),"NA")))</f>
        <v>EXPIRED</v>
      </c>
      <c r="Q25" s="25"/>
      <c r="DP25" s="6"/>
      <c r="DQ25" s="6"/>
      <c r="DR25" s="6"/>
      <c r="DS25" s="6"/>
      <c r="DT25" s="6"/>
      <c r="DU25" s="6"/>
      <c r="DV25" s="6"/>
      <c r="DW25" s="6"/>
      <c r="DX25" s="6"/>
    </row>
    <row r="26" spans="1:128" ht="14.45" x14ac:dyDescent="0.3">
      <c r="A26" s="14">
        <f t="shared" si="4"/>
        <v>16</v>
      </c>
      <c r="B26" s="14">
        <f t="shared" si="4"/>
        <v>56</v>
      </c>
      <c r="C26" s="38">
        <f t="shared" si="0"/>
        <v>1.372785705090612</v>
      </c>
      <c r="D26" s="17">
        <f t="shared" si="1"/>
        <v>205917.8557635918</v>
      </c>
      <c r="E26" s="17">
        <f>IF(OR($B26&gt;E$7,$B26&lt;E$6),0,IF(E$4,MIN(E$4,E$2*(1+E$3)^$A26),E$2*(1+E$3)^$A26))*$C26</f>
        <v>14983.095154681378</v>
      </c>
      <c r="F26" s="17">
        <f>IF(OR($B26&gt;F$7,$B26&lt;F$6),0,IF(F$4,MIN(F$4,F$2*(1+F$3)^$A26),F$2*(1+F$3)^$A26))*$C26</f>
        <v>0</v>
      </c>
      <c r="G26" s="17">
        <f>IF(OR($B26&gt;G$7,$B26&lt;G$6),0,IF(G$4,MIN(G$4,G$2*(1+G$3)^$A26),G$2*(1+G$3)^$A26))*$C26</f>
        <v>0</v>
      </c>
      <c r="H26" s="17">
        <f t="shared" si="3"/>
        <v>0</v>
      </c>
      <c r="I26" s="17">
        <f>IF(OR($B26&gt;I$7,$B26&lt;I$6),0,IF(I$4,MIN(I$4,I$2*(1+I$3)^$A26),I$2*(1+I$3)^$A26))*$C26</f>
        <v>0</v>
      </c>
      <c r="J26" s="17">
        <f>IF(OR($B26&gt;J$7,$B26&lt;J$6),0,IF(J$4,MIN(J$4,J$2*(1+J$3)^$A26),J$2*(1+J$3)^$A26))*$C26</f>
        <v>0</v>
      </c>
      <c r="K26" s="25"/>
      <c r="L26" s="17" t="str">
        <f ca="1">IF(Message&lt;&gt;"",Message,+Taxes!Q32)</f>
        <v>EXPIRED</v>
      </c>
      <c r="M26" s="17" t="str">
        <f ca="1">IF(Message&lt;&gt;"","--",+SUM(D26:J26)+Investments!P27)</f>
        <v>--</v>
      </c>
      <c r="N26" s="17" t="str">
        <f ca="1">IF(Message&lt;&gt;"",Message,+Taxes!AA32)</f>
        <v>EXPIRED</v>
      </c>
      <c r="O26" s="17" t="str">
        <f t="shared" ca="1" si="6"/>
        <v>--</v>
      </c>
      <c r="P26" s="38" t="str">
        <f ca="1">IF(Message&lt;&gt;"",Message,IF(M26&lt;0,"NA",+IFERROR(IF(N26/(M26-Taxes!N32)&lt;0,"NA",N26/(M26-Taxes!N32)),"NA")))</f>
        <v>EXPIRED</v>
      </c>
      <c r="Q26" s="25"/>
      <c r="DP26" s="6"/>
      <c r="DQ26" s="6"/>
      <c r="DR26" s="6"/>
      <c r="DS26" s="6"/>
      <c r="DT26" s="6"/>
      <c r="DU26" s="6"/>
      <c r="DV26" s="6"/>
      <c r="DW26" s="6"/>
      <c r="DX26" s="6"/>
    </row>
    <row r="27" spans="1:128" ht="14.45" x14ac:dyDescent="0.3">
      <c r="A27" s="14">
        <f t="shared" si="4"/>
        <v>17</v>
      </c>
      <c r="B27" s="14">
        <f t="shared" si="4"/>
        <v>57</v>
      </c>
      <c r="C27" s="38">
        <f t="shared" si="0"/>
        <v>1.4002414191924244</v>
      </c>
      <c r="D27" s="17">
        <f t="shared" ref="D27:J42" si="7">IF(OR($B27&gt;D$7,$B27&lt;D$6),0,IF(D$4,MIN(D$4,D$2*(1+D$3)^$A27),D$2*(1+D$3)^$A27))*$C27</f>
        <v>210036.21287886365</v>
      </c>
      <c r="E27" s="17">
        <f t="shared" si="7"/>
        <v>16046.894910663759</v>
      </c>
      <c r="F27" s="17">
        <f t="shared" si="7"/>
        <v>0</v>
      </c>
      <c r="G27" s="17">
        <f t="shared" si="7"/>
        <v>0</v>
      </c>
      <c r="H27" s="17">
        <f t="shared" si="3"/>
        <v>0</v>
      </c>
      <c r="I27" s="17">
        <f t="shared" si="7"/>
        <v>0</v>
      </c>
      <c r="J27" s="17">
        <f t="shared" si="7"/>
        <v>0</v>
      </c>
      <c r="K27" s="25"/>
      <c r="L27" s="17" t="str">
        <f ca="1">IF(Message&lt;&gt;"",Message,+Taxes!Q33)</f>
        <v>EXPIRED</v>
      </c>
      <c r="M27" s="17" t="str">
        <f ca="1">IF(Message&lt;&gt;"","--",+SUM(D27:J27)+Investments!P28)</f>
        <v>--</v>
      </c>
      <c r="N27" s="17" t="str">
        <f ca="1">IF(Message&lt;&gt;"",Message,+Taxes!AA33)</f>
        <v>EXPIRED</v>
      </c>
      <c r="O27" s="17" t="str">
        <f t="shared" ca="1" si="6"/>
        <v>--</v>
      </c>
      <c r="P27" s="38" t="str">
        <f ca="1">IF(Message&lt;&gt;"",Message,IF(M27&lt;0,"NA",+IFERROR(IF(N27/(M27-Taxes!N33)&lt;0,"NA",N27/(M27-Taxes!N33)),"NA")))</f>
        <v>EXPIRED</v>
      </c>
      <c r="Q27" s="25"/>
      <c r="DP27" s="6"/>
      <c r="DQ27" s="6"/>
      <c r="DR27" s="6"/>
      <c r="DS27" s="6"/>
      <c r="DT27" s="6"/>
      <c r="DU27" s="6"/>
      <c r="DV27" s="6"/>
      <c r="DW27" s="6"/>
      <c r="DX27" s="6"/>
    </row>
    <row r="28" spans="1:128" ht="14.45" x14ac:dyDescent="0.3">
      <c r="A28" s="14">
        <f t="shared" si="4"/>
        <v>18</v>
      </c>
      <c r="B28" s="14">
        <f t="shared" si="4"/>
        <v>58</v>
      </c>
      <c r="C28" s="38">
        <f t="shared" si="0"/>
        <v>1.4282462475762727</v>
      </c>
      <c r="D28" s="17">
        <f t="shared" si="7"/>
        <v>214236.93713644092</v>
      </c>
      <c r="E28" s="17">
        <f t="shared" si="7"/>
        <v>17186.224449320885</v>
      </c>
      <c r="F28" s="17">
        <f t="shared" si="7"/>
        <v>0</v>
      </c>
      <c r="G28" s="17">
        <f t="shared" si="7"/>
        <v>0</v>
      </c>
      <c r="H28" s="17">
        <f t="shared" si="3"/>
        <v>0</v>
      </c>
      <c r="I28" s="17">
        <f t="shared" si="7"/>
        <v>0</v>
      </c>
      <c r="J28" s="17">
        <f t="shared" si="7"/>
        <v>0</v>
      </c>
      <c r="K28" s="25"/>
      <c r="L28" s="17" t="str">
        <f ca="1">IF(Message&lt;&gt;"",Message,+Taxes!Q34)</f>
        <v>EXPIRED</v>
      </c>
      <c r="M28" s="17" t="str">
        <f ca="1">IF(Message&lt;&gt;"","--",+SUM(D28:J28)+Investments!P29)</f>
        <v>--</v>
      </c>
      <c r="N28" s="17" t="str">
        <f ca="1">IF(Message&lt;&gt;"",Message,+Taxes!AA34)</f>
        <v>EXPIRED</v>
      </c>
      <c r="O28" s="17" t="str">
        <f t="shared" ca="1" si="6"/>
        <v>--</v>
      </c>
      <c r="P28" s="38" t="str">
        <f ca="1">IF(Message&lt;&gt;"",Message,IF(M28&lt;0,"NA",+IFERROR(IF(N28/(M28-Taxes!N34)&lt;0,"NA",N28/(M28-Taxes!N34)),"NA")))</f>
        <v>EXPIRED</v>
      </c>
      <c r="Q28" s="25"/>
      <c r="DP28" s="6"/>
      <c r="DQ28" s="6"/>
      <c r="DR28" s="6"/>
      <c r="DS28" s="6"/>
      <c r="DT28" s="6"/>
      <c r="DU28" s="6"/>
      <c r="DV28" s="6"/>
      <c r="DW28" s="6"/>
      <c r="DX28" s="6"/>
    </row>
    <row r="29" spans="1:128" ht="14.45" x14ac:dyDescent="0.3">
      <c r="A29" s="14">
        <f t="shared" si="4"/>
        <v>19</v>
      </c>
      <c r="B29" s="14">
        <f t="shared" si="4"/>
        <v>59</v>
      </c>
      <c r="C29" s="38">
        <f t="shared" si="0"/>
        <v>1.4568111725277981</v>
      </c>
      <c r="D29" s="17">
        <f t="shared" si="7"/>
        <v>218521.67587916972</v>
      </c>
      <c r="E29" s="17">
        <f t="shared" si="7"/>
        <v>18406.446385222665</v>
      </c>
      <c r="F29" s="17">
        <f t="shared" si="7"/>
        <v>0</v>
      </c>
      <c r="G29" s="17">
        <f t="shared" si="7"/>
        <v>0</v>
      </c>
      <c r="H29" s="17">
        <f t="shared" si="3"/>
        <v>0</v>
      </c>
      <c r="I29" s="17">
        <f t="shared" si="7"/>
        <v>0</v>
      </c>
      <c r="J29" s="17">
        <f t="shared" si="7"/>
        <v>0</v>
      </c>
      <c r="K29" s="25"/>
      <c r="L29" s="17" t="str">
        <f ca="1">IF(Message&lt;&gt;"",Message,+Taxes!Q35)</f>
        <v>EXPIRED</v>
      </c>
      <c r="M29" s="17" t="str">
        <f ca="1">IF(Message&lt;&gt;"","--",+SUM(D29:J29)+Investments!P30)</f>
        <v>--</v>
      </c>
      <c r="N29" s="17" t="str">
        <f ca="1">IF(Message&lt;&gt;"",Message,+Taxes!AA35)</f>
        <v>EXPIRED</v>
      </c>
      <c r="O29" s="17" t="str">
        <f t="shared" ca="1" si="6"/>
        <v>--</v>
      </c>
      <c r="P29" s="38" t="str">
        <f ca="1">IF(Message&lt;&gt;"",Message,IF(M29&lt;0,"NA",+IFERROR(IF(N29/(M29-Taxes!N35)&lt;0,"NA",N29/(M29-Taxes!N35)),"NA")))</f>
        <v>EXPIRED</v>
      </c>
      <c r="Q29" s="25"/>
      <c r="DP29" s="6"/>
      <c r="DQ29" s="6"/>
      <c r="DR29" s="6"/>
      <c r="DS29" s="6"/>
      <c r="DT29" s="6"/>
      <c r="DU29" s="6"/>
      <c r="DV29" s="6"/>
      <c r="DW29" s="6"/>
      <c r="DX29" s="6"/>
    </row>
    <row r="30" spans="1:128" ht="14.45" x14ac:dyDescent="0.3">
      <c r="A30" s="14">
        <f t="shared" si="4"/>
        <v>20</v>
      </c>
      <c r="B30" s="14">
        <f t="shared" si="4"/>
        <v>60</v>
      </c>
      <c r="C30" s="38">
        <f t="shared" si="0"/>
        <v>1.4859473959783542</v>
      </c>
      <c r="D30" s="17">
        <f t="shared" si="7"/>
        <v>222892.10939675313</v>
      </c>
      <c r="E30" s="17">
        <f t="shared" si="7"/>
        <v>19713.304078573477</v>
      </c>
      <c r="F30" s="17">
        <f t="shared" si="7"/>
        <v>0</v>
      </c>
      <c r="G30" s="17">
        <f t="shared" si="7"/>
        <v>0</v>
      </c>
      <c r="H30" s="17">
        <f t="shared" si="3"/>
        <v>0</v>
      </c>
      <c r="I30" s="17">
        <f t="shared" si="7"/>
        <v>0</v>
      </c>
      <c r="J30" s="17">
        <f t="shared" si="7"/>
        <v>0</v>
      </c>
      <c r="K30" s="25"/>
      <c r="L30" s="17" t="str">
        <f ca="1">IF(Message&lt;&gt;"",Message,+Taxes!Q36)</f>
        <v>EXPIRED</v>
      </c>
      <c r="M30" s="17" t="str">
        <f ca="1">IF(Message&lt;&gt;"","--",+SUM(D30:J30)+Investments!P31)</f>
        <v>--</v>
      </c>
      <c r="N30" s="17" t="str">
        <f ca="1">IF(Message&lt;&gt;"",Message,+Taxes!AA36)</f>
        <v>EXPIRED</v>
      </c>
      <c r="O30" s="17" t="str">
        <f t="shared" ca="1" si="6"/>
        <v>--</v>
      </c>
      <c r="P30" s="38" t="str">
        <f ca="1">IF(Message&lt;&gt;"",Message,IF(M30&lt;0,"NA",+IFERROR(IF(N30/(M30-Taxes!N36)&lt;0,"NA",N30/(M30-Taxes!N36)),"NA")))</f>
        <v>EXPIRED</v>
      </c>
      <c r="Q30" s="25"/>
      <c r="DP30" s="6"/>
      <c r="DQ30" s="6"/>
      <c r="DR30" s="6"/>
      <c r="DS30" s="6"/>
      <c r="DT30" s="6"/>
      <c r="DU30" s="6"/>
      <c r="DV30" s="6"/>
      <c r="DW30" s="6"/>
      <c r="DX30" s="6"/>
    </row>
    <row r="31" spans="1:128" ht="14.45" x14ac:dyDescent="0.3">
      <c r="A31" s="14">
        <f t="shared" si="4"/>
        <v>21</v>
      </c>
      <c r="B31" s="14">
        <f t="shared" si="4"/>
        <v>61</v>
      </c>
      <c r="C31" s="38">
        <f t="shared" si="0"/>
        <v>1.5156663438979212</v>
      </c>
      <c r="D31" s="17">
        <f t="shared" si="7"/>
        <v>227349.95158468818</v>
      </c>
      <c r="E31" s="17">
        <f t="shared" si="7"/>
        <v>21112.948668152192</v>
      </c>
      <c r="F31" s="17">
        <f t="shared" si="7"/>
        <v>0</v>
      </c>
      <c r="G31" s="17">
        <f t="shared" si="7"/>
        <v>0</v>
      </c>
      <c r="H31" s="17">
        <f t="shared" si="3"/>
        <v>0</v>
      </c>
      <c r="I31" s="17">
        <f t="shared" si="7"/>
        <v>0</v>
      </c>
      <c r="J31" s="17">
        <f t="shared" si="7"/>
        <v>0</v>
      </c>
      <c r="K31" s="25"/>
      <c r="L31" s="17" t="str">
        <f ca="1">IF(Message&lt;&gt;"",Message,+Taxes!Q37)</f>
        <v>EXPIRED</v>
      </c>
      <c r="M31" s="17" t="str">
        <f ca="1">IF(Message&lt;&gt;"","--",+SUM(D31:J31)+Investments!P32)</f>
        <v>--</v>
      </c>
      <c r="N31" s="17" t="str">
        <f ca="1">IF(Message&lt;&gt;"",Message,+Taxes!AA37)</f>
        <v>EXPIRED</v>
      </c>
      <c r="O31" s="17" t="str">
        <f t="shared" ca="1" si="6"/>
        <v>--</v>
      </c>
      <c r="P31" s="38" t="str">
        <f ca="1">IF(Message&lt;&gt;"",Message,IF(M31&lt;0,"NA",+IFERROR(IF(N31/(M31-Taxes!N37)&lt;0,"NA",N31/(M31-Taxes!N37)),"NA")))</f>
        <v>EXPIRED</v>
      </c>
      <c r="Q31" s="25"/>
      <c r="DP31" s="6"/>
      <c r="DQ31" s="6"/>
      <c r="DR31" s="6"/>
      <c r="DS31" s="6"/>
      <c r="DT31" s="6"/>
      <c r="DU31" s="6"/>
      <c r="DV31" s="6"/>
      <c r="DW31" s="6"/>
      <c r="DX31" s="6"/>
    </row>
    <row r="32" spans="1:128" ht="14.45" x14ac:dyDescent="0.3">
      <c r="A32" s="14">
        <f t="shared" si="4"/>
        <v>22</v>
      </c>
      <c r="B32" s="14">
        <f t="shared" si="4"/>
        <v>62</v>
      </c>
      <c r="C32" s="38">
        <f t="shared" si="0"/>
        <v>1.5459796707758797</v>
      </c>
      <c r="D32" s="17">
        <f t="shared" si="7"/>
        <v>231896.95061638195</v>
      </c>
      <c r="E32" s="17">
        <f t="shared" si="7"/>
        <v>22611.968023590995</v>
      </c>
      <c r="F32" s="17">
        <f t="shared" si="7"/>
        <v>0</v>
      </c>
      <c r="G32" s="17">
        <f t="shared" si="7"/>
        <v>0</v>
      </c>
      <c r="H32" s="17">
        <f t="shared" si="3"/>
        <v>0</v>
      </c>
      <c r="I32" s="17">
        <f t="shared" si="7"/>
        <v>0</v>
      </c>
      <c r="J32" s="17">
        <f t="shared" si="7"/>
        <v>0</v>
      </c>
      <c r="K32" s="25"/>
      <c r="L32" s="17" t="str">
        <f ca="1">IF(Message&lt;&gt;"",Message,+Taxes!Q38)</f>
        <v>EXPIRED</v>
      </c>
      <c r="M32" s="17" t="str">
        <f ca="1">IF(Message&lt;&gt;"","--",+SUM(D32:J32)+Investments!P33)</f>
        <v>--</v>
      </c>
      <c r="N32" s="17" t="str">
        <f ca="1">IF(Message&lt;&gt;"",Message,+Taxes!AA38)</f>
        <v>EXPIRED</v>
      </c>
      <c r="O32" s="17" t="str">
        <f t="shared" ca="1" si="6"/>
        <v>--</v>
      </c>
      <c r="P32" s="38" t="str">
        <f ca="1">IF(Message&lt;&gt;"",Message,IF(M32&lt;0,"NA",+IFERROR(IF(N32/(M32-Taxes!N38)&lt;0,"NA",N32/(M32-Taxes!N38)),"NA")))</f>
        <v>EXPIRED</v>
      </c>
      <c r="Q32" s="25"/>
      <c r="DP32" s="6"/>
      <c r="DQ32" s="6"/>
      <c r="DR32" s="6"/>
      <c r="DS32" s="6"/>
      <c r="DT32" s="6"/>
      <c r="DU32" s="6"/>
      <c r="DV32" s="6"/>
      <c r="DW32" s="6"/>
      <c r="DX32" s="6"/>
    </row>
    <row r="33" spans="1:128" ht="14.45" x14ac:dyDescent="0.3">
      <c r="A33" s="14">
        <f t="shared" si="4"/>
        <v>23</v>
      </c>
      <c r="B33" s="14">
        <f t="shared" si="4"/>
        <v>63</v>
      </c>
      <c r="C33" s="38">
        <f t="shared" si="0"/>
        <v>1.576899264191397</v>
      </c>
      <c r="D33" s="17">
        <f t="shared" si="7"/>
        <v>236534.88962870956</v>
      </c>
      <c r="E33" s="17">
        <f t="shared" si="7"/>
        <v>24217.41775326596</v>
      </c>
      <c r="F33" s="17">
        <f t="shared" si="7"/>
        <v>0</v>
      </c>
      <c r="G33" s="17">
        <f t="shared" si="7"/>
        <v>0</v>
      </c>
      <c r="H33" s="17">
        <f t="shared" si="3"/>
        <v>0</v>
      </c>
      <c r="I33" s="17">
        <f t="shared" si="7"/>
        <v>0</v>
      </c>
      <c r="J33" s="17">
        <f t="shared" si="7"/>
        <v>0</v>
      </c>
      <c r="K33" s="25"/>
      <c r="L33" s="17" t="str">
        <f ca="1">IF(Message&lt;&gt;"",Message,+Taxes!Q39)</f>
        <v>EXPIRED</v>
      </c>
      <c r="M33" s="17" t="str">
        <f ca="1">IF(Message&lt;&gt;"","--",+SUM(D33:J33)+Investments!P34)</f>
        <v>--</v>
      </c>
      <c r="N33" s="17" t="str">
        <f ca="1">IF(Message&lt;&gt;"",Message,+Taxes!AA39)</f>
        <v>EXPIRED</v>
      </c>
      <c r="O33" s="17" t="str">
        <f t="shared" ca="1" si="6"/>
        <v>--</v>
      </c>
      <c r="P33" s="38" t="str">
        <f ca="1">IF(Message&lt;&gt;"",Message,IF(M33&lt;0,"NA",+IFERROR(IF(N33/(M33-Taxes!N39)&lt;0,"NA",N33/(M33-Taxes!N39)),"NA")))</f>
        <v>EXPIRED</v>
      </c>
      <c r="Q33" s="25"/>
      <c r="DP33" s="6"/>
      <c r="DQ33" s="6"/>
      <c r="DR33" s="6"/>
      <c r="DS33" s="6"/>
      <c r="DT33" s="6"/>
      <c r="DU33" s="6"/>
      <c r="DV33" s="6"/>
      <c r="DW33" s="6"/>
      <c r="DX33" s="6"/>
    </row>
    <row r="34" spans="1:128" ht="14.45" x14ac:dyDescent="0.3">
      <c r="A34" s="14">
        <f t="shared" si="4"/>
        <v>24</v>
      </c>
      <c r="B34" s="14">
        <f t="shared" si="4"/>
        <v>64</v>
      </c>
      <c r="C34" s="38">
        <f t="shared" si="0"/>
        <v>1.608437249475225</v>
      </c>
      <c r="D34" s="17">
        <f t="shared" si="7"/>
        <v>241265.58742128377</v>
      </c>
      <c r="E34" s="17">
        <f t="shared" si="7"/>
        <v>25936.854413747842</v>
      </c>
      <c r="F34" s="17">
        <f t="shared" si="7"/>
        <v>0</v>
      </c>
      <c r="G34" s="17">
        <f t="shared" si="7"/>
        <v>0</v>
      </c>
      <c r="H34" s="17">
        <f t="shared" si="3"/>
        <v>0</v>
      </c>
      <c r="I34" s="17">
        <f t="shared" si="7"/>
        <v>0</v>
      </c>
      <c r="J34" s="17">
        <f t="shared" si="7"/>
        <v>0</v>
      </c>
      <c r="K34" s="25"/>
      <c r="L34" s="17" t="str">
        <f ca="1">IF(Message&lt;&gt;"",Message,+Taxes!Q40)</f>
        <v>EXPIRED</v>
      </c>
      <c r="M34" s="17" t="str">
        <f ca="1">IF(Message&lt;&gt;"","--",+SUM(D34:J34)+Investments!P35)</f>
        <v>--</v>
      </c>
      <c r="N34" s="17" t="str">
        <f ca="1">IF(Message&lt;&gt;"",Message,+Taxes!AA40)</f>
        <v>EXPIRED</v>
      </c>
      <c r="O34" s="17" t="str">
        <f t="shared" ca="1" si="6"/>
        <v>--</v>
      </c>
      <c r="P34" s="38" t="str">
        <f ca="1">IF(Message&lt;&gt;"",Message,IF(M34&lt;0,"NA",+IFERROR(IF(N34/(M34-Taxes!N40)&lt;0,"NA",N34/(M34-Taxes!N40)),"NA")))</f>
        <v>EXPIRED</v>
      </c>
      <c r="Q34" s="25"/>
      <c r="DP34" s="6"/>
      <c r="DQ34" s="6"/>
      <c r="DR34" s="6"/>
      <c r="DS34" s="6"/>
      <c r="DT34" s="6"/>
      <c r="DU34" s="6"/>
      <c r="DV34" s="6"/>
      <c r="DW34" s="6"/>
      <c r="DX34" s="6"/>
    </row>
    <row r="35" spans="1:128" ht="14.45" x14ac:dyDescent="0.3">
      <c r="A35" s="14">
        <f t="shared" si="4"/>
        <v>25</v>
      </c>
      <c r="B35" s="14">
        <f t="shared" si="4"/>
        <v>65</v>
      </c>
      <c r="C35" s="38">
        <f t="shared" si="0"/>
        <v>1.6406059944647295</v>
      </c>
      <c r="D35" s="17">
        <f t="shared" si="7"/>
        <v>246090.89916970945</v>
      </c>
      <c r="E35" s="17">
        <f t="shared" si="7"/>
        <v>27778.371077123938</v>
      </c>
      <c r="F35" s="17">
        <f t="shared" si="7"/>
        <v>0</v>
      </c>
      <c r="G35" s="17">
        <f t="shared" si="7"/>
        <v>0</v>
      </c>
      <c r="H35" s="17">
        <f t="shared" si="3"/>
        <v>0</v>
      </c>
      <c r="I35" s="17">
        <f t="shared" si="7"/>
        <v>0</v>
      </c>
      <c r="J35" s="17">
        <f t="shared" si="7"/>
        <v>0</v>
      </c>
      <c r="K35" s="25"/>
      <c r="L35" s="17" t="str">
        <f ca="1">IF(Message&lt;&gt;"",Message,+Taxes!Q41)</f>
        <v>EXPIRED</v>
      </c>
      <c r="M35" s="17" t="str">
        <f ca="1">IF(Message&lt;&gt;"","--",+SUM(D35:J35)+Investments!P36)</f>
        <v>--</v>
      </c>
      <c r="N35" s="17" t="str">
        <f ca="1">IF(Message&lt;&gt;"",Message,+Taxes!AA41)</f>
        <v>EXPIRED</v>
      </c>
      <c r="O35" s="17" t="str">
        <f t="shared" ca="1" si="6"/>
        <v>--</v>
      </c>
      <c r="P35" s="38" t="str">
        <f ca="1">IF(Message&lt;&gt;"",Message,IF(M35&lt;0,"NA",+IFERROR(IF(N35/(M35-Taxes!N41)&lt;0,"NA",N35/(M35-Taxes!N41)),"NA")))</f>
        <v>EXPIRED</v>
      </c>
      <c r="Q35" s="25"/>
      <c r="DP35" s="6"/>
      <c r="DQ35" s="6"/>
      <c r="DR35" s="6"/>
      <c r="DS35" s="6"/>
      <c r="DT35" s="6"/>
      <c r="DU35" s="6"/>
      <c r="DV35" s="6"/>
      <c r="DW35" s="6"/>
      <c r="DX35" s="6"/>
    </row>
    <row r="36" spans="1:128" ht="14.45" x14ac:dyDescent="0.3">
      <c r="A36" s="14">
        <f t="shared" si="4"/>
        <v>26</v>
      </c>
      <c r="B36" s="14">
        <f t="shared" si="4"/>
        <v>66</v>
      </c>
      <c r="C36" s="38">
        <f t="shared" si="0"/>
        <v>1.6734181143540243</v>
      </c>
      <c r="D36" s="17">
        <f t="shared" si="7"/>
        <v>251012.71715310364</v>
      </c>
      <c r="E36" s="17">
        <f t="shared" si="7"/>
        <v>29750.635423599739</v>
      </c>
      <c r="F36" s="17">
        <f t="shared" si="7"/>
        <v>0</v>
      </c>
      <c r="G36" s="17">
        <f t="shared" si="7"/>
        <v>0</v>
      </c>
      <c r="H36" s="17">
        <f t="shared" si="3"/>
        <v>0</v>
      </c>
      <c r="I36" s="17">
        <f t="shared" si="7"/>
        <v>0</v>
      </c>
      <c r="J36" s="17">
        <f t="shared" si="7"/>
        <v>0</v>
      </c>
      <c r="K36" s="25"/>
      <c r="L36" s="17" t="str">
        <f ca="1">IF(Message&lt;&gt;"",Message,+Taxes!Q42)</f>
        <v>EXPIRED</v>
      </c>
      <c r="M36" s="17" t="str">
        <f ca="1">IF(Message&lt;&gt;"","--",+SUM(D36:J36)+Investments!P37)</f>
        <v>--</v>
      </c>
      <c r="N36" s="17" t="str">
        <f ca="1">IF(Message&lt;&gt;"",Message,+Taxes!AA42)</f>
        <v>EXPIRED</v>
      </c>
      <c r="O36" s="17" t="str">
        <f t="shared" ca="1" si="6"/>
        <v>--</v>
      </c>
      <c r="P36" s="38" t="str">
        <f ca="1">IF(Message&lt;&gt;"",Message,IF(M36&lt;0,"NA",+IFERROR(IF(N36/(M36-Taxes!N42)&lt;0,"NA",N36/(M36-Taxes!N42)),"NA")))</f>
        <v>EXPIRED</v>
      </c>
      <c r="Q36" s="25"/>
      <c r="DP36" s="6"/>
      <c r="DQ36" s="6"/>
      <c r="DR36" s="6"/>
      <c r="DS36" s="6"/>
      <c r="DT36" s="6"/>
      <c r="DU36" s="6"/>
      <c r="DV36" s="6"/>
      <c r="DW36" s="6"/>
      <c r="DX36" s="6"/>
    </row>
    <row r="37" spans="1:128" ht="14.45" x14ac:dyDescent="0.3">
      <c r="A37" s="14">
        <f t="shared" si="4"/>
        <v>27</v>
      </c>
      <c r="B37" s="14">
        <f t="shared" si="4"/>
        <v>67</v>
      </c>
      <c r="C37" s="38">
        <f t="shared" si="0"/>
        <v>1.7068864766411045</v>
      </c>
      <c r="D37" s="17">
        <f t="shared" si="7"/>
        <v>256032.97149616567</v>
      </c>
      <c r="E37" s="17">
        <f t="shared" si="7"/>
        <v>31862.930538675319</v>
      </c>
      <c r="F37" s="17">
        <f t="shared" si="7"/>
        <v>0</v>
      </c>
      <c r="G37" s="17">
        <f t="shared" si="7"/>
        <v>42672.16191602761</v>
      </c>
      <c r="H37" s="17">
        <f t="shared" si="3"/>
        <v>0</v>
      </c>
      <c r="I37" s="17">
        <f t="shared" si="7"/>
        <v>0</v>
      </c>
      <c r="J37" s="17">
        <f t="shared" si="7"/>
        <v>0</v>
      </c>
      <c r="K37" s="25"/>
      <c r="L37" s="17" t="str">
        <f ca="1">IF(Message&lt;&gt;"",Message,+Taxes!Q43)</f>
        <v>EXPIRED</v>
      </c>
      <c r="M37" s="17" t="str">
        <f ca="1">IF(Message&lt;&gt;"","--",+SUM(D37:J37)+Investments!P38)</f>
        <v>--</v>
      </c>
      <c r="N37" s="17" t="str">
        <f ca="1">IF(Message&lt;&gt;"",Message,+Taxes!AA43)</f>
        <v>EXPIRED</v>
      </c>
      <c r="O37" s="17" t="str">
        <f t="shared" ca="1" si="6"/>
        <v>--</v>
      </c>
      <c r="P37" s="38" t="str">
        <f ca="1">IF(Message&lt;&gt;"",Message,IF(M37&lt;0,"NA",+IFERROR(IF(N37/(M37-Taxes!N43)&lt;0,"NA",N37/(M37-Taxes!N43)),"NA")))</f>
        <v>EXPIRED</v>
      </c>
      <c r="Q37" s="25"/>
      <c r="DP37" s="6"/>
      <c r="DQ37" s="6"/>
      <c r="DR37" s="6"/>
      <c r="DS37" s="6"/>
      <c r="DT37" s="6"/>
      <c r="DU37" s="6"/>
      <c r="DV37" s="6"/>
      <c r="DW37" s="6"/>
      <c r="DX37" s="6"/>
    </row>
    <row r="38" spans="1:128" ht="14.45" x14ac:dyDescent="0.3">
      <c r="A38" s="14">
        <f t="shared" si="4"/>
        <v>28</v>
      </c>
      <c r="B38" s="14">
        <f t="shared" si="4"/>
        <v>68</v>
      </c>
      <c r="C38" s="38">
        <f t="shared" si="0"/>
        <v>1.7410242061739269</v>
      </c>
      <c r="D38" s="17">
        <f t="shared" si="7"/>
        <v>0</v>
      </c>
      <c r="E38" s="17">
        <f t="shared" si="7"/>
        <v>0</v>
      </c>
      <c r="F38" s="17">
        <f t="shared" si="7"/>
        <v>0</v>
      </c>
      <c r="G38" s="17">
        <f t="shared" si="7"/>
        <v>43525.605154348174</v>
      </c>
      <c r="H38" s="17">
        <f t="shared" si="3"/>
        <v>0</v>
      </c>
      <c r="I38" s="17">
        <f t="shared" si="7"/>
        <v>0</v>
      </c>
      <c r="J38" s="17">
        <f t="shared" si="7"/>
        <v>0</v>
      </c>
      <c r="K38" s="25"/>
      <c r="L38" s="17" t="str">
        <f ca="1">IF(Message&lt;&gt;"",Message,+Taxes!Q44)</f>
        <v>EXPIRED</v>
      </c>
      <c r="M38" s="17" t="str">
        <f ca="1">IF(Message&lt;&gt;"","--",+SUM(D38:J38)+Investments!P39)</f>
        <v>--</v>
      </c>
      <c r="N38" s="17" t="str">
        <f ca="1">IF(Message&lt;&gt;"",Message,+Taxes!AA44)</f>
        <v>EXPIRED</v>
      </c>
      <c r="O38" s="17" t="str">
        <f t="shared" ca="1" si="6"/>
        <v>--</v>
      </c>
      <c r="P38" s="38" t="str">
        <f ca="1">IF(Message&lt;&gt;"",Message,IF(M38&lt;0,"NA",+IFERROR(IF(N38/(M38-Taxes!N44)&lt;0,"NA",N38/(M38-Taxes!N44)),"NA")))</f>
        <v>EXPIRED</v>
      </c>
      <c r="Q38" s="25"/>
    </row>
    <row r="39" spans="1:128" ht="14.45" x14ac:dyDescent="0.3">
      <c r="A39" s="14">
        <f t="shared" si="4"/>
        <v>29</v>
      </c>
      <c r="B39" s="14">
        <f t="shared" si="4"/>
        <v>69</v>
      </c>
      <c r="C39" s="38">
        <f t="shared" si="0"/>
        <v>1.7758446902974052</v>
      </c>
      <c r="D39" s="17">
        <f t="shared" si="7"/>
        <v>0</v>
      </c>
      <c r="E39" s="17">
        <f t="shared" si="7"/>
        <v>0</v>
      </c>
      <c r="F39" s="17">
        <f t="shared" si="7"/>
        <v>0</v>
      </c>
      <c r="G39" s="17">
        <f t="shared" si="7"/>
        <v>44396.117257435129</v>
      </c>
      <c r="H39" s="17">
        <f t="shared" si="3"/>
        <v>0</v>
      </c>
      <c r="I39" s="17">
        <f t="shared" si="7"/>
        <v>0</v>
      </c>
      <c r="J39" s="17">
        <f t="shared" si="7"/>
        <v>0</v>
      </c>
      <c r="K39" s="25"/>
      <c r="L39" s="17" t="str">
        <f ca="1">IF(Message&lt;&gt;"",Message,+Taxes!Q45)</f>
        <v>EXPIRED</v>
      </c>
      <c r="M39" s="17" t="str">
        <f ca="1">IF(Message&lt;&gt;"","--",+SUM(D39:J39)+Investments!P40)</f>
        <v>--</v>
      </c>
      <c r="N39" s="17" t="str">
        <f ca="1">IF(Message&lt;&gt;"",Message,+Taxes!AA45)</f>
        <v>EXPIRED</v>
      </c>
      <c r="O39" s="17" t="str">
        <f t="shared" ca="1" si="6"/>
        <v>--</v>
      </c>
      <c r="P39" s="38" t="str">
        <f ca="1">IF(Message&lt;&gt;"",Message,IF(M39&lt;0,"NA",+IFERROR(IF(N39/(M39-Taxes!N45)&lt;0,"NA",N39/(M39-Taxes!N45)),"NA")))</f>
        <v>EXPIRED</v>
      </c>
      <c r="Q39" s="25"/>
    </row>
    <row r="40" spans="1:128" ht="14.45" x14ac:dyDescent="0.3">
      <c r="A40" s="14">
        <f t="shared" si="4"/>
        <v>30</v>
      </c>
      <c r="B40" s="14">
        <f t="shared" si="4"/>
        <v>70</v>
      </c>
      <c r="C40" s="38">
        <f t="shared" si="0"/>
        <v>1.8113615841033535</v>
      </c>
      <c r="D40" s="17">
        <f t="shared" si="7"/>
        <v>0</v>
      </c>
      <c r="E40" s="17">
        <f t="shared" si="7"/>
        <v>0</v>
      </c>
      <c r="F40" s="17">
        <f t="shared" si="7"/>
        <v>0</v>
      </c>
      <c r="G40" s="17">
        <f t="shared" si="7"/>
        <v>45284.039602583834</v>
      </c>
      <c r="H40" s="17">
        <f t="shared" si="3"/>
        <v>0</v>
      </c>
      <c r="I40" s="17">
        <f t="shared" si="7"/>
        <v>0</v>
      </c>
      <c r="J40" s="17">
        <f t="shared" si="7"/>
        <v>0</v>
      </c>
      <c r="K40" s="25"/>
      <c r="L40" s="17" t="str">
        <f ca="1">IF(Message&lt;&gt;"",Message,+Taxes!Q46)</f>
        <v>EXPIRED</v>
      </c>
      <c r="M40" s="17" t="str">
        <f ca="1">IF(Message&lt;&gt;"","--",+SUM(D40:J40)+Investments!P41)</f>
        <v>--</v>
      </c>
      <c r="N40" s="17" t="str">
        <f ca="1">IF(Message&lt;&gt;"",Message,+Taxes!AA46)</f>
        <v>EXPIRED</v>
      </c>
      <c r="O40" s="17" t="str">
        <f t="shared" ca="1" si="6"/>
        <v>--</v>
      </c>
      <c r="P40" s="38" t="str">
        <f ca="1">IF(Message&lt;&gt;"",Message,IF(M40&lt;0,"NA",+IFERROR(IF(N40/(M40-Taxes!N46)&lt;0,"NA",N40/(M40-Taxes!N46)),"NA")))</f>
        <v>EXPIRED</v>
      </c>
      <c r="Q40" s="25"/>
    </row>
    <row r="41" spans="1:128" ht="14.45" x14ac:dyDescent="0.3">
      <c r="A41" s="14">
        <f t="shared" si="4"/>
        <v>31</v>
      </c>
      <c r="B41" s="14">
        <f t="shared" si="4"/>
        <v>71</v>
      </c>
      <c r="C41" s="38">
        <f t="shared" si="0"/>
        <v>1.8475888157854201</v>
      </c>
      <c r="D41" s="17">
        <f t="shared" si="7"/>
        <v>0</v>
      </c>
      <c r="E41" s="17">
        <f t="shared" si="7"/>
        <v>0</v>
      </c>
      <c r="F41" s="17">
        <f t="shared" si="7"/>
        <v>0</v>
      </c>
      <c r="G41" s="17">
        <f t="shared" si="7"/>
        <v>46189.7203946355</v>
      </c>
      <c r="H41" s="17">
        <f t="shared" si="3"/>
        <v>0</v>
      </c>
      <c r="I41" s="17">
        <f t="shared" si="7"/>
        <v>0</v>
      </c>
      <c r="J41" s="17">
        <f t="shared" si="7"/>
        <v>0</v>
      </c>
      <c r="K41" s="25"/>
      <c r="L41" s="17" t="str">
        <f ca="1">IF(Message&lt;&gt;"",Message,+Taxes!Q47)</f>
        <v>EXPIRED</v>
      </c>
      <c r="M41" s="17" t="str">
        <f ca="1">IF(Message&lt;&gt;"","--",+SUM(D41:J41)+Investments!P42)</f>
        <v>--</v>
      </c>
      <c r="N41" s="17" t="str">
        <f ca="1">IF(Message&lt;&gt;"",Message,+Taxes!AA47)</f>
        <v>EXPIRED</v>
      </c>
      <c r="O41" s="17" t="str">
        <f t="shared" ca="1" si="6"/>
        <v>--</v>
      </c>
      <c r="P41" s="38" t="str">
        <f ca="1">IF(Message&lt;&gt;"",Message,IF(M41&lt;0,"NA",+IFERROR(IF(N41/(M41-Taxes!N47)&lt;0,"NA",N41/(M41-Taxes!N47)),"NA")))</f>
        <v>EXPIRED</v>
      </c>
      <c r="Q41" s="25"/>
    </row>
    <row r="42" spans="1:128" ht="14.45" x14ac:dyDescent="0.3">
      <c r="A42" s="14">
        <f t="shared" si="4"/>
        <v>32</v>
      </c>
      <c r="B42" s="14">
        <f t="shared" si="4"/>
        <v>72</v>
      </c>
      <c r="C42" s="38">
        <f t="shared" ref="C42:C73" si="8">+(1+inflation)^A42</f>
        <v>1.8845405921011289</v>
      </c>
      <c r="D42" s="17">
        <f t="shared" si="7"/>
        <v>0</v>
      </c>
      <c r="E42" s="17">
        <f t="shared" si="7"/>
        <v>0</v>
      </c>
      <c r="F42" s="17">
        <f t="shared" si="7"/>
        <v>0</v>
      </c>
      <c r="G42" s="17">
        <f t="shared" si="7"/>
        <v>47113.514802528225</v>
      </c>
      <c r="H42" s="17">
        <f t="shared" si="7"/>
        <v>0</v>
      </c>
      <c r="I42" s="17">
        <f t="shared" si="7"/>
        <v>0</v>
      </c>
      <c r="J42" s="17">
        <f t="shared" si="7"/>
        <v>0</v>
      </c>
      <c r="K42" s="25"/>
      <c r="L42" s="17" t="str">
        <f ca="1">IF(Message&lt;&gt;"",Message,+Taxes!Q48)</f>
        <v>EXPIRED</v>
      </c>
      <c r="M42" s="17" t="str">
        <f ca="1">IF(Message&lt;&gt;"","--",+SUM(D42:J42)+Investments!P43)</f>
        <v>--</v>
      </c>
      <c r="N42" s="17" t="str">
        <f ca="1">IF(Message&lt;&gt;"",Message,+Taxes!AA48)</f>
        <v>EXPIRED</v>
      </c>
      <c r="O42" s="17" t="str">
        <f t="shared" ca="1" si="6"/>
        <v>--</v>
      </c>
      <c r="P42" s="38" t="str">
        <f ca="1">IF(Message&lt;&gt;"",Message,IF(M42&lt;0,"NA",+IFERROR(IF(N42/(M42-Taxes!N48)&lt;0,"NA",N42/(M42-Taxes!N48)),"NA")))</f>
        <v>EXPIRED</v>
      </c>
      <c r="Q42" s="25"/>
    </row>
    <row r="43" spans="1:128" ht="14.45" x14ac:dyDescent="0.3">
      <c r="A43" s="14">
        <f t="shared" si="4"/>
        <v>33</v>
      </c>
      <c r="B43" s="14">
        <f t="shared" si="4"/>
        <v>73</v>
      </c>
      <c r="C43" s="38">
        <f t="shared" si="8"/>
        <v>1.9222314039431516</v>
      </c>
      <c r="D43" s="17">
        <f t="shared" ref="D43:J58" si="9">IF(OR($B43&gt;D$7,$B43&lt;D$6),0,IF(D$4,MIN(D$4,D$2*(1+D$3)^$A43),D$2*(1+D$3)^$A43))*$C43</f>
        <v>0</v>
      </c>
      <c r="E43" s="17">
        <f t="shared" si="9"/>
        <v>0</v>
      </c>
      <c r="F43" s="17">
        <f t="shared" si="9"/>
        <v>0</v>
      </c>
      <c r="G43" s="17">
        <f t="shared" si="9"/>
        <v>48055.785098578788</v>
      </c>
      <c r="H43" s="17">
        <f t="shared" si="9"/>
        <v>0</v>
      </c>
      <c r="I43" s="17">
        <f t="shared" si="9"/>
        <v>0</v>
      </c>
      <c r="J43" s="17">
        <f t="shared" si="9"/>
        <v>0</v>
      </c>
      <c r="K43" s="25"/>
      <c r="L43" s="17" t="str">
        <f ca="1">IF(Message&lt;&gt;"",Message,+Taxes!Q49)</f>
        <v>EXPIRED</v>
      </c>
      <c r="M43" s="17" t="str">
        <f ca="1">IF(Message&lt;&gt;"","--",+SUM(D43:J43)+Investments!P44)</f>
        <v>--</v>
      </c>
      <c r="N43" s="17" t="str">
        <f ca="1">IF(Message&lt;&gt;"",Message,+Taxes!AA49)</f>
        <v>EXPIRED</v>
      </c>
      <c r="O43" s="17" t="str">
        <f t="shared" ca="1" si="6"/>
        <v>--</v>
      </c>
      <c r="P43" s="38" t="str">
        <f ca="1">IF(Message&lt;&gt;"",Message,IF(M43&lt;0,"NA",+IFERROR(IF(N43/(M43-Taxes!N49)&lt;0,"NA",N43/(M43-Taxes!N49)),"NA")))</f>
        <v>EXPIRED</v>
      </c>
      <c r="Q43" s="25"/>
    </row>
    <row r="44" spans="1:128" ht="14.45" x14ac:dyDescent="0.3">
      <c r="A44" s="14">
        <f t="shared" si="4"/>
        <v>34</v>
      </c>
      <c r="B44" s="14">
        <f t="shared" si="4"/>
        <v>74</v>
      </c>
      <c r="C44" s="38">
        <f t="shared" si="8"/>
        <v>1.9606760320220145</v>
      </c>
      <c r="D44" s="17">
        <f t="shared" si="9"/>
        <v>0</v>
      </c>
      <c r="E44" s="17">
        <f t="shared" si="9"/>
        <v>0</v>
      </c>
      <c r="F44" s="17">
        <f t="shared" si="9"/>
        <v>0</v>
      </c>
      <c r="G44" s="17">
        <f t="shared" si="9"/>
        <v>49016.900800550364</v>
      </c>
      <c r="H44" s="17">
        <f t="shared" si="9"/>
        <v>0</v>
      </c>
      <c r="I44" s="17">
        <f t="shared" si="9"/>
        <v>0</v>
      </c>
      <c r="J44" s="17">
        <f t="shared" si="9"/>
        <v>0</v>
      </c>
      <c r="K44" s="25"/>
      <c r="L44" s="17" t="str">
        <f ca="1">IF(Message&lt;&gt;"",Message,+Taxes!Q50)</f>
        <v>EXPIRED</v>
      </c>
      <c r="M44" s="17" t="str">
        <f ca="1">IF(Message&lt;&gt;"","--",+SUM(D44:J44)+Investments!P45)</f>
        <v>--</v>
      </c>
      <c r="N44" s="17" t="str">
        <f ca="1">IF(Message&lt;&gt;"",Message,+Taxes!AA50)</f>
        <v>EXPIRED</v>
      </c>
      <c r="O44" s="17" t="str">
        <f t="shared" ca="1" si="6"/>
        <v>--</v>
      </c>
      <c r="P44" s="38" t="str">
        <f ca="1">IF(Message&lt;&gt;"",Message,IF(M44&lt;0,"NA",+IFERROR(IF(N44/(M44-Taxes!N50)&lt;0,"NA",N44/(M44-Taxes!N50)),"NA")))</f>
        <v>EXPIRED</v>
      </c>
      <c r="Q44" s="25"/>
    </row>
    <row r="45" spans="1:128" ht="14.45" x14ac:dyDescent="0.3">
      <c r="A45" s="14">
        <f t="shared" si="4"/>
        <v>35</v>
      </c>
      <c r="B45" s="14">
        <f t="shared" si="4"/>
        <v>75</v>
      </c>
      <c r="C45" s="38">
        <f t="shared" si="8"/>
        <v>1.9998895526624547</v>
      </c>
      <c r="D45" s="17">
        <f t="shared" si="9"/>
        <v>0</v>
      </c>
      <c r="E45" s="17">
        <f t="shared" si="9"/>
        <v>0</v>
      </c>
      <c r="F45" s="17">
        <f t="shared" si="9"/>
        <v>0</v>
      </c>
      <c r="G45" s="17">
        <f t="shared" si="9"/>
        <v>49997.238816561367</v>
      </c>
      <c r="H45" s="17">
        <f t="shared" si="9"/>
        <v>0</v>
      </c>
      <c r="I45" s="17">
        <f t="shared" si="9"/>
        <v>0</v>
      </c>
      <c r="J45" s="17">
        <f t="shared" si="9"/>
        <v>0</v>
      </c>
      <c r="K45" s="25"/>
      <c r="L45" s="17" t="str">
        <f ca="1">IF(Message&lt;&gt;"",Message,+Taxes!Q51)</f>
        <v>EXPIRED</v>
      </c>
      <c r="M45" s="17" t="str">
        <f ca="1">IF(Message&lt;&gt;"","--",+SUM(D45:J45)+Investments!P46)</f>
        <v>--</v>
      </c>
      <c r="N45" s="17" t="str">
        <f ca="1">IF(Message&lt;&gt;"",Message,+Taxes!AA51)</f>
        <v>EXPIRED</v>
      </c>
      <c r="O45" s="17" t="str">
        <f t="shared" ca="1" si="6"/>
        <v>--</v>
      </c>
      <c r="P45" s="38" t="str">
        <f ca="1">IF(Message&lt;&gt;"",Message,IF(M45&lt;0,"NA",+IFERROR(IF(N45/(M45-Taxes!N51)&lt;0,"NA",N45/(M45-Taxes!N51)),"NA")))</f>
        <v>EXPIRED</v>
      </c>
      <c r="Q45" s="25"/>
    </row>
    <row r="46" spans="1:128" ht="14.45" x14ac:dyDescent="0.3">
      <c r="A46" s="14">
        <f t="shared" si="4"/>
        <v>36</v>
      </c>
      <c r="B46" s="14">
        <f t="shared" si="4"/>
        <v>76</v>
      </c>
      <c r="C46" s="38">
        <f t="shared" si="8"/>
        <v>2.0398873437157037</v>
      </c>
      <c r="D46" s="17">
        <f t="shared" si="9"/>
        <v>0</v>
      </c>
      <c r="E46" s="17">
        <f t="shared" si="9"/>
        <v>0</v>
      </c>
      <c r="F46" s="17">
        <f t="shared" si="9"/>
        <v>0</v>
      </c>
      <c r="G46" s="17">
        <f t="shared" si="9"/>
        <v>50997.183592892594</v>
      </c>
      <c r="H46" s="17">
        <f t="shared" si="9"/>
        <v>0</v>
      </c>
      <c r="I46" s="17">
        <f t="shared" si="9"/>
        <v>0</v>
      </c>
      <c r="J46" s="17">
        <f t="shared" si="9"/>
        <v>0</v>
      </c>
      <c r="K46" s="25"/>
      <c r="L46" s="17" t="str">
        <f ca="1">IF(Message&lt;&gt;"",Message,+Taxes!Q52)</f>
        <v>EXPIRED</v>
      </c>
      <c r="M46" s="17" t="str">
        <f ca="1">IF(Message&lt;&gt;"","--",+SUM(D46:J46)+Investments!P47)</f>
        <v>--</v>
      </c>
      <c r="N46" s="17" t="str">
        <f ca="1">IF(Message&lt;&gt;"",Message,+Taxes!AA52)</f>
        <v>EXPIRED</v>
      </c>
      <c r="O46" s="17" t="str">
        <f t="shared" ca="1" si="6"/>
        <v>--</v>
      </c>
      <c r="P46" s="38" t="str">
        <f ca="1">IF(Message&lt;&gt;"",Message,IF(M46&lt;0,"NA",+IFERROR(IF(N46/(M46-Taxes!N52)&lt;0,"NA",N46/(M46-Taxes!N52)),"NA")))</f>
        <v>EXPIRED</v>
      </c>
      <c r="Q46" s="25"/>
    </row>
    <row r="47" spans="1:128" ht="14.45" x14ac:dyDescent="0.3">
      <c r="A47" s="14">
        <f t="shared" si="4"/>
        <v>37</v>
      </c>
      <c r="B47" s="14">
        <f t="shared" si="4"/>
        <v>77</v>
      </c>
      <c r="C47" s="38">
        <f t="shared" si="8"/>
        <v>2.080685090590018</v>
      </c>
      <c r="D47" s="17">
        <f t="shared" si="9"/>
        <v>0</v>
      </c>
      <c r="E47" s="17">
        <f t="shared" si="9"/>
        <v>0</v>
      </c>
      <c r="F47" s="17">
        <f t="shared" si="9"/>
        <v>0</v>
      </c>
      <c r="G47" s="17">
        <f t="shared" si="9"/>
        <v>52017.127264750452</v>
      </c>
      <c r="H47" s="17">
        <f t="shared" si="9"/>
        <v>0</v>
      </c>
      <c r="I47" s="17">
        <f t="shared" si="9"/>
        <v>0</v>
      </c>
      <c r="J47" s="17">
        <f t="shared" si="9"/>
        <v>0</v>
      </c>
      <c r="K47" s="25"/>
      <c r="L47" s="17" t="str">
        <f ca="1">IF(Message&lt;&gt;"",Message,+Taxes!Q53)</f>
        <v>EXPIRED</v>
      </c>
      <c r="M47" s="17" t="str">
        <f ca="1">IF(Message&lt;&gt;"","--",+SUM(D47:J47)+Investments!P48)</f>
        <v>--</v>
      </c>
      <c r="N47" s="17" t="str">
        <f ca="1">IF(Message&lt;&gt;"",Message,+Taxes!AA53)</f>
        <v>EXPIRED</v>
      </c>
      <c r="O47" s="17" t="str">
        <f t="shared" ca="1" si="6"/>
        <v>--</v>
      </c>
      <c r="P47" s="38" t="str">
        <f ca="1">IF(Message&lt;&gt;"",Message,IF(M47&lt;0,"NA",+IFERROR(IF(N47/(M47-Taxes!N53)&lt;0,"NA",N47/(M47-Taxes!N53)),"NA")))</f>
        <v>EXPIRED</v>
      </c>
      <c r="Q47" s="25"/>
    </row>
    <row r="48" spans="1:128" ht="14.45" x14ac:dyDescent="0.3">
      <c r="A48" s="14">
        <f t="shared" si="4"/>
        <v>38</v>
      </c>
      <c r="B48" s="14">
        <f t="shared" si="4"/>
        <v>78</v>
      </c>
      <c r="C48" s="38">
        <f t="shared" si="8"/>
        <v>2.1222987924018186</v>
      </c>
      <c r="D48" s="17">
        <f t="shared" si="9"/>
        <v>0</v>
      </c>
      <c r="E48" s="17">
        <f t="shared" si="9"/>
        <v>0</v>
      </c>
      <c r="F48" s="17">
        <f t="shared" si="9"/>
        <v>0</v>
      </c>
      <c r="G48" s="17">
        <f t="shared" si="9"/>
        <v>53057.469810045463</v>
      </c>
      <c r="H48" s="17">
        <f t="shared" si="9"/>
        <v>0</v>
      </c>
      <c r="I48" s="17">
        <f t="shared" si="9"/>
        <v>0</v>
      </c>
      <c r="J48" s="17">
        <f t="shared" si="9"/>
        <v>0</v>
      </c>
      <c r="K48" s="25"/>
      <c r="L48" s="17" t="str">
        <f ca="1">IF(Message&lt;&gt;"",Message,+Taxes!Q54)</f>
        <v>EXPIRED</v>
      </c>
      <c r="M48" s="17" t="str">
        <f ca="1">IF(Message&lt;&gt;"","--",+SUM(D48:J48)+Investments!P49)</f>
        <v>--</v>
      </c>
      <c r="N48" s="17" t="str">
        <f ca="1">IF(Message&lt;&gt;"",Message,+Taxes!AA54)</f>
        <v>EXPIRED</v>
      </c>
      <c r="O48" s="17" t="str">
        <f t="shared" ref="O48:O79" ca="1" si="10">IF(Message&lt;&gt;"","--",+M48-N48)</f>
        <v>--</v>
      </c>
      <c r="P48" s="38" t="str">
        <f ca="1">IF(Message&lt;&gt;"",Message,IF(M48&lt;0,"NA",+IFERROR(IF(N48/(M48-Taxes!N54)&lt;0,"NA",N48/(M48-Taxes!N54)),"NA")))</f>
        <v>EXPIRED</v>
      </c>
      <c r="Q48" s="25"/>
    </row>
    <row r="49" spans="1:17" ht="14.45" x14ac:dyDescent="0.3">
      <c r="A49" s="14">
        <f t="shared" si="4"/>
        <v>39</v>
      </c>
      <c r="B49" s="14">
        <f t="shared" si="4"/>
        <v>79</v>
      </c>
      <c r="C49" s="38">
        <f t="shared" si="8"/>
        <v>2.1647447682498542</v>
      </c>
      <c r="D49" s="17">
        <f t="shared" si="9"/>
        <v>0</v>
      </c>
      <c r="E49" s="17">
        <f t="shared" si="9"/>
        <v>0</v>
      </c>
      <c r="F49" s="17">
        <f t="shared" si="9"/>
        <v>0</v>
      </c>
      <c r="G49" s="17">
        <f t="shared" si="9"/>
        <v>54118.619206246352</v>
      </c>
      <c r="H49" s="17">
        <f t="shared" si="9"/>
        <v>0</v>
      </c>
      <c r="I49" s="17">
        <f t="shared" si="9"/>
        <v>0</v>
      </c>
      <c r="J49" s="17">
        <f t="shared" si="9"/>
        <v>0</v>
      </c>
      <c r="K49" s="25"/>
      <c r="L49" s="17" t="str">
        <f ca="1">IF(Message&lt;&gt;"",Message,+Taxes!Q55)</f>
        <v>EXPIRED</v>
      </c>
      <c r="M49" s="17" t="str">
        <f ca="1">IF(Message&lt;&gt;"","--",+SUM(D49:J49)+Investments!P50)</f>
        <v>--</v>
      </c>
      <c r="N49" s="17" t="str">
        <f ca="1">IF(Message&lt;&gt;"",Message,+Taxes!AA55)</f>
        <v>EXPIRED</v>
      </c>
      <c r="O49" s="17" t="str">
        <f t="shared" ca="1" si="10"/>
        <v>--</v>
      </c>
      <c r="P49" s="38" t="str">
        <f ca="1">IF(Message&lt;&gt;"",Message,IF(M49&lt;0,"NA",+IFERROR(IF(N49/(M49-Taxes!N55)&lt;0,"NA",N49/(M49-Taxes!N55)),"NA")))</f>
        <v>EXPIRED</v>
      </c>
      <c r="Q49" s="25"/>
    </row>
    <row r="50" spans="1:17" x14ac:dyDescent="0.25">
      <c r="A50" s="14">
        <f t="shared" si="4"/>
        <v>40</v>
      </c>
      <c r="B50" s="14">
        <f t="shared" si="4"/>
        <v>80</v>
      </c>
      <c r="C50" s="38">
        <f t="shared" si="8"/>
        <v>2.2080396636148518</v>
      </c>
      <c r="D50" s="17">
        <f t="shared" si="9"/>
        <v>0</v>
      </c>
      <c r="E50" s="17">
        <f t="shared" si="9"/>
        <v>0</v>
      </c>
      <c r="F50" s="17">
        <f t="shared" si="9"/>
        <v>0</v>
      </c>
      <c r="G50" s="17">
        <f t="shared" si="9"/>
        <v>55200.991590371297</v>
      </c>
      <c r="H50" s="17">
        <f t="shared" si="9"/>
        <v>0</v>
      </c>
      <c r="I50" s="17">
        <f t="shared" si="9"/>
        <v>0</v>
      </c>
      <c r="J50" s="17">
        <f t="shared" si="9"/>
        <v>0</v>
      </c>
      <c r="K50" s="25"/>
      <c r="L50" s="17" t="str">
        <f ca="1">IF(Message&lt;&gt;"",Message,+Taxes!Q56)</f>
        <v>EXPIRED</v>
      </c>
      <c r="M50" s="17" t="str">
        <f ca="1">IF(Message&lt;&gt;"","--",+SUM(D50:J50)+Investments!P51)</f>
        <v>--</v>
      </c>
      <c r="N50" s="17" t="str">
        <f ca="1">IF(Message&lt;&gt;"",Message,+Taxes!AA56)</f>
        <v>EXPIRED</v>
      </c>
      <c r="O50" s="17" t="str">
        <f t="shared" ca="1" si="10"/>
        <v>--</v>
      </c>
      <c r="P50" s="38" t="str">
        <f ca="1">IF(Message&lt;&gt;"",Message,IF(M50&lt;0,"NA",+IFERROR(IF(N50/(M50-Taxes!N56)&lt;0,"NA",N50/(M50-Taxes!N56)),"NA")))</f>
        <v>EXPIRED</v>
      </c>
      <c r="Q50" s="25"/>
    </row>
    <row r="51" spans="1:17" x14ac:dyDescent="0.25">
      <c r="A51" s="14">
        <f t="shared" si="4"/>
        <v>41</v>
      </c>
      <c r="B51" s="14">
        <f t="shared" si="4"/>
        <v>81</v>
      </c>
      <c r="C51" s="38">
        <f t="shared" si="8"/>
        <v>2.2522004568871488</v>
      </c>
      <c r="D51" s="17">
        <f t="shared" si="9"/>
        <v>0</v>
      </c>
      <c r="E51" s="17">
        <f t="shared" si="9"/>
        <v>0</v>
      </c>
      <c r="F51" s="17">
        <f t="shared" si="9"/>
        <v>0</v>
      </c>
      <c r="G51" s="17">
        <f t="shared" si="9"/>
        <v>56305.011422178723</v>
      </c>
      <c r="H51" s="17">
        <f t="shared" si="9"/>
        <v>0</v>
      </c>
      <c r="I51" s="17">
        <f t="shared" si="9"/>
        <v>0</v>
      </c>
      <c r="J51" s="17">
        <f t="shared" si="9"/>
        <v>0</v>
      </c>
      <c r="K51" s="25"/>
      <c r="L51" s="17" t="str">
        <f ca="1">IF(Message&lt;&gt;"",Message,+Taxes!Q57)</f>
        <v>EXPIRED</v>
      </c>
      <c r="M51" s="17" t="str">
        <f ca="1">IF(Message&lt;&gt;"","--",+SUM(D51:J51)+Investments!P52)</f>
        <v>--</v>
      </c>
      <c r="N51" s="17" t="str">
        <f ca="1">IF(Message&lt;&gt;"",Message,+Taxes!AA57)</f>
        <v>EXPIRED</v>
      </c>
      <c r="O51" s="17" t="str">
        <f t="shared" ca="1" si="10"/>
        <v>--</v>
      </c>
      <c r="P51" s="38" t="str">
        <f ca="1">IF(Message&lt;&gt;"",Message,IF(M51&lt;0,"NA",+IFERROR(IF(N51/(M51-Taxes!N57)&lt;0,"NA",N51/(M51-Taxes!N57)),"NA")))</f>
        <v>EXPIRED</v>
      </c>
      <c r="Q51" s="25"/>
    </row>
    <row r="52" spans="1:17" x14ac:dyDescent="0.25">
      <c r="A52" s="14">
        <f t="shared" si="4"/>
        <v>42</v>
      </c>
      <c r="B52" s="14">
        <f t="shared" si="4"/>
        <v>82</v>
      </c>
      <c r="C52" s="38">
        <f t="shared" si="8"/>
        <v>2.2972444660248916</v>
      </c>
      <c r="D52" s="17">
        <f t="shared" si="9"/>
        <v>0</v>
      </c>
      <c r="E52" s="17">
        <f t="shared" si="9"/>
        <v>0</v>
      </c>
      <c r="F52" s="17">
        <f t="shared" si="9"/>
        <v>0</v>
      </c>
      <c r="G52" s="17">
        <f t="shared" si="9"/>
        <v>57431.11165062229</v>
      </c>
      <c r="H52" s="17">
        <f t="shared" si="9"/>
        <v>0</v>
      </c>
      <c r="I52" s="17">
        <f t="shared" si="9"/>
        <v>0</v>
      </c>
      <c r="J52" s="17">
        <f t="shared" si="9"/>
        <v>0</v>
      </c>
      <c r="K52" s="25"/>
      <c r="L52" s="17" t="str">
        <f ca="1">IF(Message&lt;&gt;"",Message,+Taxes!Q58)</f>
        <v>EXPIRED</v>
      </c>
      <c r="M52" s="17" t="str">
        <f ca="1">IF(Message&lt;&gt;"","--",+SUM(D52:J52)+Investments!P53)</f>
        <v>--</v>
      </c>
      <c r="N52" s="17" t="str">
        <f ca="1">IF(Message&lt;&gt;"",Message,+Taxes!AA58)</f>
        <v>EXPIRED</v>
      </c>
      <c r="O52" s="17" t="str">
        <f t="shared" ca="1" si="10"/>
        <v>--</v>
      </c>
      <c r="P52" s="38" t="str">
        <f ca="1">IF(Message&lt;&gt;"",Message,IF(M52&lt;0,"NA",+IFERROR(IF(N52/(M52-Taxes!N58)&lt;0,"NA",N52/(M52-Taxes!N58)),"NA")))</f>
        <v>EXPIRED</v>
      </c>
      <c r="Q52" s="25"/>
    </row>
    <row r="53" spans="1:17" x14ac:dyDescent="0.25">
      <c r="A53" s="14">
        <f t="shared" si="4"/>
        <v>43</v>
      </c>
      <c r="B53" s="14">
        <f t="shared" si="4"/>
        <v>83</v>
      </c>
      <c r="C53" s="38">
        <f t="shared" si="8"/>
        <v>2.3431893553453893</v>
      </c>
      <c r="D53" s="17">
        <f t="shared" si="9"/>
        <v>0</v>
      </c>
      <c r="E53" s="17">
        <f t="shared" si="9"/>
        <v>0</v>
      </c>
      <c r="F53" s="17">
        <f t="shared" si="9"/>
        <v>0</v>
      </c>
      <c r="G53" s="17">
        <f t="shared" si="9"/>
        <v>58579.733883634734</v>
      </c>
      <c r="H53" s="17">
        <f t="shared" si="9"/>
        <v>0</v>
      </c>
      <c r="I53" s="17">
        <f t="shared" si="9"/>
        <v>0</v>
      </c>
      <c r="J53" s="17">
        <f t="shared" si="9"/>
        <v>0</v>
      </c>
      <c r="K53" s="25"/>
      <c r="L53" s="17" t="str">
        <f ca="1">IF(Message&lt;&gt;"",Message,+Taxes!Q59)</f>
        <v>EXPIRED</v>
      </c>
      <c r="M53" s="17" t="str">
        <f ca="1">IF(Message&lt;&gt;"","--",+SUM(D53:J53)+Investments!P54)</f>
        <v>--</v>
      </c>
      <c r="N53" s="17" t="str">
        <f ca="1">IF(Message&lt;&gt;"",Message,+Taxes!AA59)</f>
        <v>EXPIRED</v>
      </c>
      <c r="O53" s="17" t="str">
        <f t="shared" ca="1" si="10"/>
        <v>--</v>
      </c>
      <c r="P53" s="38" t="str">
        <f ca="1">IF(Message&lt;&gt;"",Message,IF(M53&lt;0,"NA",+IFERROR(IF(N53/(M53-Taxes!N59)&lt;0,"NA",N53/(M53-Taxes!N59)),"NA")))</f>
        <v>EXPIRED</v>
      </c>
      <c r="Q53" s="25"/>
    </row>
    <row r="54" spans="1:17" x14ac:dyDescent="0.25">
      <c r="A54" s="14">
        <f t="shared" si="4"/>
        <v>44</v>
      </c>
      <c r="B54" s="14">
        <f t="shared" si="4"/>
        <v>84</v>
      </c>
      <c r="C54" s="38">
        <f t="shared" si="8"/>
        <v>2.3900531424522975</v>
      </c>
      <c r="D54" s="17">
        <f t="shared" si="9"/>
        <v>0</v>
      </c>
      <c r="E54" s="17">
        <f t="shared" si="9"/>
        <v>0</v>
      </c>
      <c r="F54" s="17">
        <f t="shared" si="9"/>
        <v>0</v>
      </c>
      <c r="G54" s="17">
        <f t="shared" si="9"/>
        <v>59751.32856130744</v>
      </c>
      <c r="H54" s="17">
        <f t="shared" si="9"/>
        <v>0</v>
      </c>
      <c r="I54" s="17">
        <f t="shared" si="9"/>
        <v>0</v>
      </c>
      <c r="J54" s="17">
        <f t="shared" si="9"/>
        <v>0</v>
      </c>
      <c r="K54" s="25"/>
      <c r="L54" s="17" t="str">
        <f ca="1">IF(Message&lt;&gt;"",Message,+Taxes!Q60)</f>
        <v>EXPIRED</v>
      </c>
      <c r="M54" s="17" t="str">
        <f ca="1">IF(Message&lt;&gt;"","--",+SUM(D54:J54)+Investments!P55)</f>
        <v>--</v>
      </c>
      <c r="N54" s="17" t="str">
        <f ca="1">IF(Message&lt;&gt;"",Message,+Taxes!AA60)</f>
        <v>EXPIRED</v>
      </c>
      <c r="O54" s="17" t="str">
        <f t="shared" ca="1" si="10"/>
        <v>--</v>
      </c>
      <c r="P54" s="38" t="str">
        <f ca="1">IF(Message&lt;&gt;"",Message,IF(M54&lt;0,"NA",+IFERROR(IF(N54/(M54-Taxes!N60)&lt;0,"NA",N54/(M54-Taxes!N60)),"NA")))</f>
        <v>EXPIRED</v>
      </c>
      <c r="Q54" s="25"/>
    </row>
    <row r="55" spans="1:17" x14ac:dyDescent="0.25">
      <c r="A55" s="14">
        <f t="shared" si="4"/>
        <v>45</v>
      </c>
      <c r="B55" s="14">
        <f t="shared" si="4"/>
        <v>85</v>
      </c>
      <c r="C55" s="38">
        <f t="shared" si="8"/>
        <v>2.4378542053013432</v>
      </c>
      <c r="D55" s="17">
        <f t="shared" si="9"/>
        <v>0</v>
      </c>
      <c r="E55" s="17">
        <f t="shared" si="9"/>
        <v>0</v>
      </c>
      <c r="F55" s="17">
        <f t="shared" si="9"/>
        <v>0</v>
      </c>
      <c r="G55" s="17">
        <f t="shared" si="9"/>
        <v>60946.355132533579</v>
      </c>
      <c r="H55" s="17">
        <f t="shared" si="9"/>
        <v>0</v>
      </c>
      <c r="I55" s="17">
        <f t="shared" si="9"/>
        <v>0</v>
      </c>
      <c r="J55" s="17">
        <f t="shared" si="9"/>
        <v>0</v>
      </c>
      <c r="K55" s="25"/>
      <c r="L55" s="17" t="str">
        <f ca="1">IF(Message&lt;&gt;"",Message,+Taxes!Q61)</f>
        <v>EXPIRED</v>
      </c>
      <c r="M55" s="17" t="str">
        <f ca="1">IF(Message&lt;&gt;"","--",+SUM(D55:J55)+Investments!P56)</f>
        <v>--</v>
      </c>
      <c r="N55" s="17" t="str">
        <f ca="1">IF(Message&lt;&gt;"",Message,+Taxes!AA61)</f>
        <v>EXPIRED</v>
      </c>
      <c r="O55" s="17" t="str">
        <f t="shared" ca="1" si="10"/>
        <v>--</v>
      </c>
      <c r="P55" s="38" t="str">
        <f ca="1">IF(Message&lt;&gt;"",Message,IF(M55&lt;0,"NA",+IFERROR(IF(N55/(M55-Taxes!N61)&lt;0,"NA",N55/(M55-Taxes!N61)),"NA")))</f>
        <v>EXPIRED</v>
      </c>
      <c r="Q55" s="25"/>
    </row>
    <row r="56" spans="1:17" x14ac:dyDescent="0.25">
      <c r="A56" s="14">
        <f t="shared" si="4"/>
        <v>46</v>
      </c>
      <c r="B56" s="14">
        <f t="shared" si="4"/>
        <v>86</v>
      </c>
      <c r="C56" s="38">
        <f t="shared" si="8"/>
        <v>2.4866112894073704</v>
      </c>
      <c r="D56" s="17">
        <f t="shared" si="9"/>
        <v>0</v>
      </c>
      <c r="E56" s="17">
        <f t="shared" si="9"/>
        <v>0</v>
      </c>
      <c r="F56" s="17">
        <f t="shared" si="9"/>
        <v>0</v>
      </c>
      <c r="G56" s="17">
        <f t="shared" si="9"/>
        <v>62165.282235184262</v>
      </c>
      <c r="H56" s="17">
        <f t="shared" si="9"/>
        <v>0</v>
      </c>
      <c r="I56" s="17">
        <f t="shared" si="9"/>
        <v>0</v>
      </c>
      <c r="J56" s="17">
        <f t="shared" si="9"/>
        <v>0</v>
      </c>
      <c r="K56" s="25"/>
      <c r="L56" s="17" t="str">
        <f ca="1">IF(Message&lt;&gt;"",Message,+Taxes!Q62)</f>
        <v>EXPIRED</v>
      </c>
      <c r="M56" s="17" t="str">
        <f ca="1">IF(Message&lt;&gt;"","--",+SUM(D56:J56)+Investments!P57)</f>
        <v>--</v>
      </c>
      <c r="N56" s="17" t="str">
        <f ca="1">IF(Message&lt;&gt;"",Message,+Taxes!AA62)</f>
        <v>EXPIRED</v>
      </c>
      <c r="O56" s="17" t="str">
        <f t="shared" ca="1" si="10"/>
        <v>--</v>
      </c>
      <c r="P56" s="38" t="str">
        <f ca="1">IF(Message&lt;&gt;"",Message,IF(M56&lt;0,"NA",+IFERROR(IF(N56/(M56-Taxes!N62)&lt;0,"NA",N56/(M56-Taxes!N62)),"NA")))</f>
        <v>EXPIRED</v>
      </c>
      <c r="Q56" s="25"/>
    </row>
    <row r="57" spans="1:17" x14ac:dyDescent="0.25">
      <c r="A57" s="14">
        <f t="shared" si="4"/>
        <v>47</v>
      </c>
      <c r="B57" s="14">
        <f t="shared" si="4"/>
        <v>87</v>
      </c>
      <c r="C57" s="38">
        <f t="shared" si="8"/>
        <v>2.5363435151955169</v>
      </c>
      <c r="D57" s="17">
        <f t="shared" si="9"/>
        <v>0</v>
      </c>
      <c r="E57" s="17">
        <f t="shared" si="9"/>
        <v>0</v>
      </c>
      <c r="F57" s="17">
        <f t="shared" si="9"/>
        <v>0</v>
      </c>
      <c r="G57" s="17">
        <f t="shared" si="9"/>
        <v>63408.58787988792</v>
      </c>
      <c r="H57" s="17">
        <f t="shared" si="9"/>
        <v>0</v>
      </c>
      <c r="I57" s="17">
        <f t="shared" si="9"/>
        <v>0</v>
      </c>
      <c r="J57" s="17">
        <f t="shared" si="9"/>
        <v>0</v>
      </c>
      <c r="K57" s="25"/>
      <c r="L57" s="17" t="str">
        <f ca="1">IF(Message&lt;&gt;"",Message,+Taxes!Q63)</f>
        <v>EXPIRED</v>
      </c>
      <c r="M57" s="17" t="str">
        <f ca="1">IF(Message&lt;&gt;"","--",+SUM(D57:J57)+Investments!P58)</f>
        <v>--</v>
      </c>
      <c r="N57" s="17" t="str">
        <f ca="1">IF(Message&lt;&gt;"",Message,+Taxes!AA63)</f>
        <v>EXPIRED</v>
      </c>
      <c r="O57" s="17" t="str">
        <f t="shared" ca="1" si="10"/>
        <v>--</v>
      </c>
      <c r="P57" s="38" t="str">
        <f ca="1">IF(Message&lt;&gt;"",Message,IF(M57&lt;0,"NA",+IFERROR(IF(N57/(M57-Taxes!N63)&lt;0,"NA",N57/(M57-Taxes!N63)),"NA")))</f>
        <v>EXPIRED</v>
      </c>
      <c r="Q57" s="25"/>
    </row>
    <row r="58" spans="1:17" x14ac:dyDescent="0.25">
      <c r="A58" s="14">
        <f t="shared" si="4"/>
        <v>48</v>
      </c>
      <c r="B58" s="14">
        <f t="shared" si="4"/>
        <v>88</v>
      </c>
      <c r="C58" s="38">
        <f t="shared" si="8"/>
        <v>2.5870703854994277</v>
      </c>
      <c r="D58" s="17">
        <f t="shared" si="9"/>
        <v>0</v>
      </c>
      <c r="E58" s="17">
        <f t="shared" si="9"/>
        <v>0</v>
      </c>
      <c r="F58" s="17">
        <f t="shared" si="9"/>
        <v>0</v>
      </c>
      <c r="G58" s="17">
        <f t="shared" si="9"/>
        <v>64676.759637485695</v>
      </c>
      <c r="H58" s="17">
        <f t="shared" si="9"/>
        <v>0</v>
      </c>
      <c r="I58" s="17">
        <f t="shared" si="9"/>
        <v>0</v>
      </c>
      <c r="J58" s="17">
        <f t="shared" si="9"/>
        <v>0</v>
      </c>
      <c r="K58" s="25"/>
      <c r="L58" s="17" t="str">
        <f ca="1">IF(Message&lt;&gt;"",Message,+Taxes!Q64)</f>
        <v>EXPIRED</v>
      </c>
      <c r="M58" s="17" t="str">
        <f ca="1">IF(Message&lt;&gt;"","--",+SUM(D58:J58)+Investments!P59)</f>
        <v>--</v>
      </c>
      <c r="N58" s="17" t="str">
        <f ca="1">IF(Message&lt;&gt;"",Message,+Taxes!AA64)</f>
        <v>EXPIRED</v>
      </c>
      <c r="O58" s="17" t="str">
        <f t="shared" ca="1" si="10"/>
        <v>--</v>
      </c>
      <c r="P58" s="38" t="str">
        <f ca="1">IF(Message&lt;&gt;"",Message,IF(M58&lt;0,"NA",+IFERROR(IF(N58/(M58-Taxes!N64)&lt;0,"NA",N58/(M58-Taxes!N64)),"NA")))</f>
        <v>EXPIRED</v>
      </c>
      <c r="Q58" s="25"/>
    </row>
    <row r="59" spans="1:17" x14ac:dyDescent="0.25">
      <c r="A59" s="14">
        <f t="shared" si="4"/>
        <v>49</v>
      </c>
      <c r="B59" s="14">
        <f t="shared" si="4"/>
        <v>89</v>
      </c>
      <c r="C59" s="38">
        <f t="shared" si="8"/>
        <v>2.6388117932094164</v>
      </c>
      <c r="D59" s="17">
        <f t="shared" ref="D59:J74" si="11">IF(OR($B59&gt;D$7,$B59&lt;D$6),0,IF(D$4,MIN(D$4,D$2*(1+D$3)^$A59),D$2*(1+D$3)^$A59))*$C59</f>
        <v>0</v>
      </c>
      <c r="E59" s="17">
        <f t="shared" si="11"/>
        <v>0</v>
      </c>
      <c r="F59" s="17">
        <f t="shared" si="11"/>
        <v>0</v>
      </c>
      <c r="G59" s="17">
        <f t="shared" si="11"/>
        <v>65970.294830235405</v>
      </c>
      <c r="H59" s="17">
        <f t="shared" si="11"/>
        <v>0</v>
      </c>
      <c r="I59" s="17">
        <f t="shared" si="11"/>
        <v>0</v>
      </c>
      <c r="J59" s="17">
        <f t="shared" si="11"/>
        <v>0</v>
      </c>
      <c r="K59" s="25"/>
      <c r="L59" s="17" t="str">
        <f ca="1">IF(Message&lt;&gt;"",Message,+Taxes!Q65)</f>
        <v>EXPIRED</v>
      </c>
      <c r="M59" s="17" t="str">
        <f ca="1">IF(Message&lt;&gt;"","--",+SUM(D59:J59)+Investments!P60)</f>
        <v>--</v>
      </c>
      <c r="N59" s="17" t="str">
        <f ca="1">IF(Message&lt;&gt;"",Message,+Taxes!AA65)</f>
        <v>EXPIRED</v>
      </c>
      <c r="O59" s="17" t="str">
        <f t="shared" ca="1" si="10"/>
        <v>--</v>
      </c>
      <c r="P59" s="38" t="str">
        <f ca="1">IF(Message&lt;&gt;"",Message,IF(M59&lt;0,"NA",+IFERROR(IF(N59/(M59-Taxes!N65)&lt;0,"NA",N59/(M59-Taxes!N65)),"NA")))</f>
        <v>EXPIRED</v>
      </c>
      <c r="Q59" s="25"/>
    </row>
    <row r="60" spans="1:17" x14ac:dyDescent="0.25">
      <c r="A60" s="14">
        <f t="shared" si="4"/>
        <v>50</v>
      </c>
      <c r="B60" s="14">
        <f t="shared" si="4"/>
        <v>90</v>
      </c>
      <c r="C60" s="38">
        <f t="shared" si="8"/>
        <v>2.6915880290736047</v>
      </c>
      <c r="D60" s="17">
        <f t="shared" si="11"/>
        <v>0</v>
      </c>
      <c r="E60" s="17">
        <f t="shared" si="11"/>
        <v>0</v>
      </c>
      <c r="F60" s="17">
        <f t="shared" si="11"/>
        <v>0</v>
      </c>
      <c r="G60" s="17">
        <f t="shared" si="11"/>
        <v>67289.700726840121</v>
      </c>
      <c r="H60" s="17">
        <f t="shared" si="11"/>
        <v>0</v>
      </c>
      <c r="I60" s="17">
        <f t="shared" si="11"/>
        <v>0</v>
      </c>
      <c r="J60" s="17">
        <f t="shared" si="11"/>
        <v>0</v>
      </c>
      <c r="K60" s="25"/>
      <c r="L60" s="17" t="str">
        <f ca="1">IF(Message&lt;&gt;"",Message,+Taxes!Q66)</f>
        <v>EXPIRED</v>
      </c>
      <c r="M60" s="17" t="str">
        <f ca="1">IF(Message&lt;&gt;"","--",+SUM(D60:J60)+Investments!P61)</f>
        <v>--</v>
      </c>
      <c r="N60" s="17" t="str">
        <f ca="1">IF(Message&lt;&gt;"",Message,+Taxes!AA66)</f>
        <v>EXPIRED</v>
      </c>
      <c r="O60" s="17" t="str">
        <f t="shared" ca="1" si="10"/>
        <v>--</v>
      </c>
      <c r="P60" s="38" t="str">
        <f ca="1">IF(Message&lt;&gt;"",Message,IF(M60&lt;0,"NA",+IFERROR(IF(N60/(M60-Taxes!N66)&lt;0,"NA",N60/(M60-Taxes!N66)),"NA")))</f>
        <v>EXPIRED</v>
      </c>
      <c r="Q60" s="25"/>
    </row>
    <row r="61" spans="1:17" x14ac:dyDescent="0.25">
      <c r="A61" s="14">
        <f t="shared" si="4"/>
        <v>51</v>
      </c>
      <c r="B61" s="14">
        <f t="shared" si="4"/>
        <v>91</v>
      </c>
      <c r="C61" s="38">
        <f t="shared" si="8"/>
        <v>2.7454197896550765</v>
      </c>
      <c r="D61" s="17">
        <f t="shared" si="11"/>
        <v>0</v>
      </c>
      <c r="E61" s="17">
        <f t="shared" si="11"/>
        <v>0</v>
      </c>
      <c r="F61" s="17">
        <f t="shared" si="11"/>
        <v>0</v>
      </c>
      <c r="G61" s="17">
        <f t="shared" si="11"/>
        <v>68635.494741376911</v>
      </c>
      <c r="H61" s="17">
        <f t="shared" si="11"/>
        <v>0</v>
      </c>
      <c r="I61" s="17">
        <f t="shared" si="11"/>
        <v>0</v>
      </c>
      <c r="J61" s="17">
        <f t="shared" si="11"/>
        <v>0</v>
      </c>
      <c r="K61" s="25"/>
      <c r="L61" s="17" t="str">
        <f ca="1">IF(Message&lt;&gt;"",Message,+Taxes!Q67)</f>
        <v>EXPIRED</v>
      </c>
      <c r="M61" s="17" t="str">
        <f ca="1">IF(Message&lt;&gt;"","--",+SUM(D61:J61)+Investments!P62)</f>
        <v>--</v>
      </c>
      <c r="N61" s="17" t="str">
        <f ca="1">IF(Message&lt;&gt;"",Message,+Taxes!AA67)</f>
        <v>EXPIRED</v>
      </c>
      <c r="O61" s="17" t="str">
        <f t="shared" ca="1" si="10"/>
        <v>--</v>
      </c>
      <c r="P61" s="38" t="str">
        <f ca="1">IF(Message&lt;&gt;"",Message,IF(M61&lt;0,"NA",+IFERROR(IF(N61/(M61-Taxes!N67)&lt;0,"NA",N61/(M61-Taxes!N67)),"NA")))</f>
        <v>EXPIRED</v>
      </c>
      <c r="Q61" s="25"/>
    </row>
    <row r="62" spans="1:17" x14ac:dyDescent="0.25">
      <c r="A62" s="14">
        <f t="shared" si="4"/>
        <v>52</v>
      </c>
      <c r="B62" s="14">
        <f t="shared" si="4"/>
        <v>92</v>
      </c>
      <c r="C62" s="38">
        <f t="shared" si="8"/>
        <v>2.8003281854481785</v>
      </c>
      <c r="D62" s="17">
        <f t="shared" si="11"/>
        <v>0</v>
      </c>
      <c r="E62" s="17">
        <f t="shared" si="11"/>
        <v>0</v>
      </c>
      <c r="F62" s="17">
        <f t="shared" si="11"/>
        <v>0</v>
      </c>
      <c r="G62" s="17">
        <f t="shared" si="11"/>
        <v>70008.204636204464</v>
      </c>
      <c r="H62" s="17">
        <f t="shared" si="11"/>
        <v>0</v>
      </c>
      <c r="I62" s="17">
        <f t="shared" si="11"/>
        <v>0</v>
      </c>
      <c r="J62" s="17">
        <f t="shared" si="11"/>
        <v>0</v>
      </c>
      <c r="K62" s="25"/>
      <c r="L62" s="17" t="str">
        <f ca="1">IF(Message&lt;&gt;"",Message,+Taxes!Q68)</f>
        <v>EXPIRED</v>
      </c>
      <c r="M62" s="17" t="str">
        <f ca="1">IF(Message&lt;&gt;"","--",+SUM(D62:J62)+Investments!P63)</f>
        <v>--</v>
      </c>
      <c r="N62" s="17" t="str">
        <f ca="1">IF(Message&lt;&gt;"",Message,+Taxes!AA68)</f>
        <v>EXPIRED</v>
      </c>
      <c r="O62" s="17" t="str">
        <f t="shared" ca="1" si="10"/>
        <v>--</v>
      </c>
      <c r="P62" s="38" t="str">
        <f ca="1">IF(Message&lt;&gt;"",Message,IF(M62&lt;0,"NA",+IFERROR(IF(N62/(M62-Taxes!N68)&lt;0,"NA",N62/(M62-Taxes!N68)),"NA")))</f>
        <v>EXPIRED</v>
      </c>
      <c r="Q62" s="25"/>
    </row>
    <row r="63" spans="1:17" x14ac:dyDescent="0.25">
      <c r="A63" s="14">
        <f t="shared" si="4"/>
        <v>53</v>
      </c>
      <c r="B63" s="14">
        <f t="shared" si="4"/>
        <v>93</v>
      </c>
      <c r="C63" s="38">
        <f t="shared" si="8"/>
        <v>2.8563347491571416</v>
      </c>
      <c r="D63" s="17">
        <f t="shared" si="11"/>
        <v>0</v>
      </c>
      <c r="E63" s="17">
        <f t="shared" si="11"/>
        <v>0</v>
      </c>
      <c r="F63" s="17">
        <f t="shared" si="11"/>
        <v>0</v>
      </c>
      <c r="G63" s="17">
        <f t="shared" si="11"/>
        <v>71408.368728928544</v>
      </c>
      <c r="H63" s="17">
        <f t="shared" si="11"/>
        <v>0</v>
      </c>
      <c r="I63" s="17">
        <f t="shared" si="11"/>
        <v>0</v>
      </c>
      <c r="J63" s="17">
        <f t="shared" si="11"/>
        <v>0</v>
      </c>
      <c r="K63" s="25"/>
      <c r="L63" s="17" t="str">
        <f ca="1">IF(Message&lt;&gt;"",Message,+Taxes!Q69)</f>
        <v>EXPIRED</v>
      </c>
      <c r="M63" s="17" t="str">
        <f ca="1">IF(Message&lt;&gt;"","--",+SUM(D63:J63)+Investments!P64)</f>
        <v>--</v>
      </c>
      <c r="N63" s="17" t="str">
        <f ca="1">IF(Message&lt;&gt;"",Message,+Taxes!AA69)</f>
        <v>EXPIRED</v>
      </c>
      <c r="O63" s="17" t="str">
        <f t="shared" ca="1" si="10"/>
        <v>--</v>
      </c>
      <c r="P63" s="38" t="str">
        <f ca="1">IF(Message&lt;&gt;"",Message,IF(M63&lt;0,"NA",+IFERROR(IF(N63/(M63-Taxes!N69)&lt;0,"NA",N63/(M63-Taxes!N69)),"NA")))</f>
        <v>EXPIRED</v>
      </c>
      <c r="Q63" s="25"/>
    </row>
    <row r="64" spans="1:17" x14ac:dyDescent="0.25">
      <c r="A64" s="14">
        <f t="shared" si="4"/>
        <v>54</v>
      </c>
      <c r="B64" s="14">
        <f t="shared" si="4"/>
        <v>94</v>
      </c>
      <c r="C64" s="38">
        <f t="shared" si="8"/>
        <v>2.9134614441402849</v>
      </c>
      <c r="D64" s="17">
        <f t="shared" si="11"/>
        <v>0</v>
      </c>
      <c r="E64" s="17">
        <f t="shared" si="11"/>
        <v>0</v>
      </c>
      <c r="F64" s="17">
        <f t="shared" si="11"/>
        <v>0</v>
      </c>
      <c r="G64" s="17">
        <f t="shared" si="11"/>
        <v>72836.536103507126</v>
      </c>
      <c r="H64" s="17">
        <f t="shared" si="11"/>
        <v>0</v>
      </c>
      <c r="I64" s="17">
        <f t="shared" si="11"/>
        <v>0</v>
      </c>
      <c r="J64" s="17">
        <f t="shared" si="11"/>
        <v>0</v>
      </c>
      <c r="K64" s="25"/>
      <c r="L64" s="17" t="str">
        <f ca="1">IF(Message&lt;&gt;"",Message,+Taxes!Q70)</f>
        <v>EXPIRED</v>
      </c>
      <c r="M64" s="17" t="str">
        <f ca="1">IF(Message&lt;&gt;"","--",+SUM(D64:J64)+Investments!P65)</f>
        <v>--</v>
      </c>
      <c r="N64" s="17" t="str">
        <f ca="1">IF(Message&lt;&gt;"",Message,+Taxes!AA70)</f>
        <v>EXPIRED</v>
      </c>
      <c r="O64" s="17" t="str">
        <f t="shared" ca="1" si="10"/>
        <v>--</v>
      </c>
      <c r="P64" s="38" t="str">
        <f ca="1">IF(Message&lt;&gt;"",Message,IF(M64&lt;0,"NA",+IFERROR(IF(N64/(M64-Taxes!N70)&lt;0,"NA",N64/(M64-Taxes!N70)),"NA")))</f>
        <v>EXPIRED</v>
      </c>
      <c r="Q64" s="25"/>
    </row>
    <row r="65" spans="1:17" x14ac:dyDescent="0.25">
      <c r="A65" s="14">
        <f t="shared" si="4"/>
        <v>55</v>
      </c>
      <c r="B65" s="14">
        <f t="shared" si="4"/>
        <v>95</v>
      </c>
      <c r="C65" s="38">
        <f t="shared" si="8"/>
        <v>2.9717306730230897</v>
      </c>
      <c r="D65" s="17">
        <f t="shared" si="11"/>
        <v>0</v>
      </c>
      <c r="E65" s="17">
        <f t="shared" si="11"/>
        <v>0</v>
      </c>
      <c r="F65" s="17">
        <f t="shared" si="11"/>
        <v>0</v>
      </c>
      <c r="G65" s="17">
        <f t="shared" si="11"/>
        <v>74293.266825577244</v>
      </c>
      <c r="H65" s="17">
        <f t="shared" si="11"/>
        <v>0</v>
      </c>
      <c r="I65" s="17">
        <f t="shared" si="11"/>
        <v>0</v>
      </c>
      <c r="J65" s="17">
        <f t="shared" si="11"/>
        <v>0</v>
      </c>
      <c r="K65" s="25"/>
      <c r="L65" s="17" t="str">
        <f ca="1">IF(Message&lt;&gt;"",Message,+Taxes!Q71)</f>
        <v>EXPIRED</v>
      </c>
      <c r="M65" s="17" t="str">
        <f ca="1">IF(Message&lt;&gt;"","--",+SUM(D65:J65)+Investments!P66)</f>
        <v>--</v>
      </c>
      <c r="N65" s="17" t="str">
        <f ca="1">IF(Message&lt;&gt;"",Message,+Taxes!AA71)</f>
        <v>EXPIRED</v>
      </c>
      <c r="O65" s="17" t="str">
        <f t="shared" ca="1" si="10"/>
        <v>--</v>
      </c>
      <c r="P65" s="38" t="str">
        <f ca="1">IF(Message&lt;&gt;"",Message,IF(M65&lt;0,"NA",+IFERROR(IF(N65/(M65-Taxes!N71)&lt;0,"NA",N65/(M65-Taxes!N71)),"NA")))</f>
        <v>EXPIRED</v>
      </c>
      <c r="Q65" s="25"/>
    </row>
    <row r="66" spans="1:17" x14ac:dyDescent="0.25">
      <c r="A66" s="14">
        <f t="shared" si="4"/>
        <v>56</v>
      </c>
      <c r="B66" s="14">
        <f t="shared" si="4"/>
        <v>96</v>
      </c>
      <c r="C66" s="38">
        <f t="shared" si="8"/>
        <v>3.0311652864835517</v>
      </c>
      <c r="D66" s="17">
        <f t="shared" si="11"/>
        <v>0</v>
      </c>
      <c r="E66" s="17">
        <f t="shared" si="11"/>
        <v>0</v>
      </c>
      <c r="F66" s="17">
        <f t="shared" si="11"/>
        <v>0</v>
      </c>
      <c r="G66" s="17">
        <f t="shared" si="11"/>
        <v>75779.13216208879</v>
      </c>
      <c r="H66" s="17">
        <f t="shared" si="11"/>
        <v>0</v>
      </c>
      <c r="I66" s="17">
        <f t="shared" si="11"/>
        <v>0</v>
      </c>
      <c r="J66" s="17">
        <f t="shared" si="11"/>
        <v>0</v>
      </c>
      <c r="K66" s="25"/>
      <c r="L66" s="17" t="str">
        <f ca="1">IF(Message&lt;&gt;"",Message,+Taxes!Q72)</f>
        <v>EXPIRED</v>
      </c>
      <c r="M66" s="17" t="str">
        <f ca="1">IF(Message&lt;&gt;"","--",+SUM(D66:J66)+Investments!P67)</f>
        <v>--</v>
      </c>
      <c r="N66" s="17" t="str">
        <f ca="1">IF(Message&lt;&gt;"",Message,+Taxes!AA72)</f>
        <v>EXPIRED</v>
      </c>
      <c r="O66" s="17" t="str">
        <f t="shared" ca="1" si="10"/>
        <v>--</v>
      </c>
      <c r="P66" s="38" t="str">
        <f ca="1">IF(Message&lt;&gt;"",Message,IF(M66&lt;0,"NA",+IFERROR(IF(N66/(M66-Taxes!N72)&lt;0,"NA",N66/(M66-Taxes!N72)),"NA")))</f>
        <v>EXPIRED</v>
      </c>
      <c r="Q66" s="25"/>
    </row>
    <row r="67" spans="1:17" x14ac:dyDescent="0.25">
      <c r="A67" s="14">
        <f t="shared" si="4"/>
        <v>57</v>
      </c>
      <c r="B67" s="14">
        <f t="shared" si="4"/>
        <v>97</v>
      </c>
      <c r="C67" s="38">
        <f t="shared" si="8"/>
        <v>3.0917885922132227</v>
      </c>
      <c r="D67" s="17">
        <f t="shared" si="11"/>
        <v>0</v>
      </c>
      <c r="E67" s="17">
        <f t="shared" si="11"/>
        <v>0</v>
      </c>
      <c r="F67" s="17">
        <f t="shared" si="11"/>
        <v>0</v>
      </c>
      <c r="G67" s="17">
        <f t="shared" si="11"/>
        <v>77294.714805330572</v>
      </c>
      <c r="H67" s="17">
        <f t="shared" si="11"/>
        <v>0</v>
      </c>
      <c r="I67" s="17">
        <f t="shared" si="11"/>
        <v>0</v>
      </c>
      <c r="J67" s="17">
        <f t="shared" si="11"/>
        <v>0</v>
      </c>
      <c r="K67" s="25"/>
      <c r="L67" s="17" t="str">
        <f ca="1">IF(Message&lt;&gt;"",Message,+Taxes!Q73)</f>
        <v>EXPIRED</v>
      </c>
      <c r="M67" s="17" t="str">
        <f ca="1">IF(Message&lt;&gt;"","--",+SUM(D67:J67)+Investments!P68)</f>
        <v>--</v>
      </c>
      <c r="N67" s="17" t="str">
        <f ca="1">IF(Message&lt;&gt;"",Message,+Taxes!AA73)</f>
        <v>EXPIRED</v>
      </c>
      <c r="O67" s="17" t="str">
        <f t="shared" ca="1" si="10"/>
        <v>--</v>
      </c>
      <c r="P67" s="38" t="str">
        <f ca="1">IF(Message&lt;&gt;"",Message,IF(M67&lt;0,"NA",+IFERROR(IF(N67/(M67-Taxes!N73)&lt;0,"NA",N67/(M67-Taxes!N73)),"NA")))</f>
        <v>EXPIRED</v>
      </c>
      <c r="Q67" s="25"/>
    </row>
    <row r="68" spans="1:17" x14ac:dyDescent="0.25">
      <c r="A68" s="14">
        <f t="shared" si="4"/>
        <v>58</v>
      </c>
      <c r="B68" s="14">
        <f t="shared" si="4"/>
        <v>98</v>
      </c>
      <c r="C68" s="38">
        <f t="shared" si="8"/>
        <v>3.1536243640574875</v>
      </c>
      <c r="D68" s="17">
        <f t="shared" si="11"/>
        <v>0</v>
      </c>
      <c r="E68" s="17">
        <f t="shared" si="11"/>
        <v>0</v>
      </c>
      <c r="F68" s="17">
        <f t="shared" si="11"/>
        <v>0</v>
      </c>
      <c r="G68" s="17">
        <f t="shared" si="11"/>
        <v>78840.609101437192</v>
      </c>
      <c r="H68" s="17">
        <f t="shared" si="11"/>
        <v>0</v>
      </c>
      <c r="I68" s="17">
        <f t="shared" si="11"/>
        <v>0</v>
      </c>
      <c r="J68" s="17">
        <f t="shared" si="11"/>
        <v>0</v>
      </c>
      <c r="K68" s="25"/>
      <c r="L68" s="17" t="str">
        <f ca="1">IF(Message&lt;&gt;"",Message,+Taxes!Q74)</f>
        <v>EXPIRED</v>
      </c>
      <c r="M68" s="17" t="str">
        <f ca="1">IF(Message&lt;&gt;"","--",+SUM(D68:J68)+Investments!P69)</f>
        <v>--</v>
      </c>
      <c r="N68" s="17" t="str">
        <f ca="1">IF(Message&lt;&gt;"",Message,+Taxes!AA74)</f>
        <v>EXPIRED</v>
      </c>
      <c r="O68" s="17" t="str">
        <f t="shared" ca="1" si="10"/>
        <v>--</v>
      </c>
      <c r="P68" s="38" t="str">
        <f ca="1">IF(Message&lt;&gt;"",Message,IF(M68&lt;0,"NA",+IFERROR(IF(N68/(M68-Taxes!N74)&lt;0,"NA",N68/(M68-Taxes!N74)),"NA")))</f>
        <v>EXPIRED</v>
      </c>
      <c r="Q68" s="25"/>
    </row>
    <row r="69" spans="1:17" x14ac:dyDescent="0.25">
      <c r="A69" s="14">
        <f t="shared" si="4"/>
        <v>59</v>
      </c>
      <c r="B69" s="14">
        <f t="shared" si="4"/>
        <v>99</v>
      </c>
      <c r="C69" s="38">
        <f t="shared" si="8"/>
        <v>3.2166968513386367</v>
      </c>
      <c r="D69" s="17">
        <f t="shared" si="11"/>
        <v>0</v>
      </c>
      <c r="E69" s="17">
        <f t="shared" si="11"/>
        <v>0</v>
      </c>
      <c r="F69" s="17">
        <f t="shared" si="11"/>
        <v>0</v>
      </c>
      <c r="G69" s="17">
        <f t="shared" si="11"/>
        <v>80417.421283465912</v>
      </c>
      <c r="H69" s="17">
        <f t="shared" si="11"/>
        <v>0</v>
      </c>
      <c r="I69" s="17">
        <f t="shared" si="11"/>
        <v>0</v>
      </c>
      <c r="J69" s="17">
        <f t="shared" si="11"/>
        <v>0</v>
      </c>
      <c r="K69" s="25"/>
      <c r="L69" s="17" t="str">
        <f ca="1">IF(Message&lt;&gt;"",Message,+Taxes!Q75)</f>
        <v>EXPIRED</v>
      </c>
      <c r="M69" s="17" t="str">
        <f ca="1">IF(Message&lt;&gt;"","--",+SUM(D69:J69)+Investments!P70)</f>
        <v>--</v>
      </c>
      <c r="N69" s="17" t="str">
        <f ca="1">IF(Message&lt;&gt;"",Message,+Taxes!AA75)</f>
        <v>EXPIRED</v>
      </c>
      <c r="O69" s="17" t="str">
        <f t="shared" ca="1" si="10"/>
        <v>--</v>
      </c>
      <c r="P69" s="38" t="str">
        <f ca="1">IF(Message&lt;&gt;"",Message,IF(M69&lt;0,"NA",+IFERROR(IF(N69/(M69-Taxes!N75)&lt;0,"NA",N69/(M69-Taxes!N75)),"NA")))</f>
        <v>EXPIRED</v>
      </c>
      <c r="Q69" s="25"/>
    </row>
    <row r="70" spans="1:17" x14ac:dyDescent="0.25">
      <c r="A70" s="14">
        <f t="shared" si="4"/>
        <v>60</v>
      </c>
      <c r="B70" s="14">
        <f t="shared" si="4"/>
        <v>100</v>
      </c>
      <c r="C70" s="38">
        <f t="shared" si="8"/>
        <v>3.2810307883654102</v>
      </c>
      <c r="D70" s="17">
        <f t="shared" si="11"/>
        <v>0</v>
      </c>
      <c r="E70" s="17">
        <f t="shared" si="11"/>
        <v>0</v>
      </c>
      <c r="F70" s="17">
        <f t="shared" si="11"/>
        <v>0</v>
      </c>
      <c r="G70" s="17">
        <f t="shared" si="11"/>
        <v>82025.76970913526</v>
      </c>
      <c r="H70" s="17">
        <f t="shared" si="11"/>
        <v>0</v>
      </c>
      <c r="I70" s="17">
        <f t="shared" si="11"/>
        <v>0</v>
      </c>
      <c r="J70" s="17">
        <f t="shared" si="11"/>
        <v>0</v>
      </c>
      <c r="K70" s="25"/>
      <c r="L70" s="17" t="str">
        <f ca="1">IF(Message&lt;&gt;"",Message,+Taxes!Q76)</f>
        <v>EXPIRED</v>
      </c>
      <c r="M70" s="17" t="str">
        <f ca="1">IF(Message&lt;&gt;"","--",+SUM(D70:J70)+Investments!P71)</f>
        <v>--</v>
      </c>
      <c r="N70" s="17" t="str">
        <f ca="1">IF(Message&lt;&gt;"",Message,+Taxes!AA76)</f>
        <v>EXPIRED</v>
      </c>
      <c r="O70" s="17" t="str">
        <f t="shared" ca="1" si="10"/>
        <v>--</v>
      </c>
      <c r="P70" s="38" t="str">
        <f ca="1">IF(Message&lt;&gt;"",Message,IF(M70&lt;0,"NA",+IFERROR(IF(N70/(M70-Taxes!N76)&lt;0,"NA",N70/(M70-Taxes!N76)),"NA")))</f>
        <v>EXPIRED</v>
      </c>
      <c r="Q70" s="25"/>
    </row>
    <row r="71" spans="1:17" x14ac:dyDescent="0.25">
      <c r="A71" s="14">
        <f t="shared" si="4"/>
        <v>61</v>
      </c>
      <c r="B71" s="14">
        <f t="shared" si="4"/>
        <v>101</v>
      </c>
      <c r="C71" s="38">
        <f t="shared" si="8"/>
        <v>3.346651404132718</v>
      </c>
      <c r="D71" s="17">
        <f t="shared" si="11"/>
        <v>0</v>
      </c>
      <c r="E71" s="17">
        <f t="shared" si="11"/>
        <v>0</v>
      </c>
      <c r="F71" s="17">
        <f t="shared" si="11"/>
        <v>0</v>
      </c>
      <c r="G71" s="17">
        <f t="shared" si="11"/>
        <v>83666.285103317947</v>
      </c>
      <c r="H71" s="17">
        <f t="shared" si="11"/>
        <v>0</v>
      </c>
      <c r="I71" s="17">
        <f t="shared" si="11"/>
        <v>0</v>
      </c>
      <c r="J71" s="17">
        <f t="shared" si="11"/>
        <v>0</v>
      </c>
      <c r="K71" s="25"/>
      <c r="L71" s="17" t="str">
        <f ca="1">IF(Message&lt;&gt;"",Message,+Taxes!Q77)</f>
        <v>EXPIRED</v>
      </c>
      <c r="M71" s="17" t="str">
        <f ca="1">IF(Message&lt;&gt;"","--",+SUM(D71:J71)+Investments!P72)</f>
        <v>--</v>
      </c>
      <c r="N71" s="17" t="str">
        <f ca="1">IF(Message&lt;&gt;"",Message,+Taxes!AA77)</f>
        <v>EXPIRED</v>
      </c>
      <c r="O71" s="17" t="str">
        <f t="shared" ca="1" si="10"/>
        <v>--</v>
      </c>
      <c r="P71" s="38" t="str">
        <f ca="1">IF(Message&lt;&gt;"",Message,IF(M71&lt;0,"NA",+IFERROR(IF(N71/(M71-Taxes!N77)&lt;0,"NA",N71/(M71-Taxes!N77)),"NA")))</f>
        <v>EXPIRED</v>
      </c>
      <c r="Q71" s="25"/>
    </row>
    <row r="72" spans="1:17" x14ac:dyDescent="0.25">
      <c r="A72" s="14">
        <f t="shared" si="4"/>
        <v>62</v>
      </c>
      <c r="B72" s="14">
        <f t="shared" si="4"/>
        <v>102</v>
      </c>
      <c r="C72" s="38">
        <f t="shared" si="8"/>
        <v>3.4135844322153726</v>
      </c>
      <c r="D72" s="17">
        <f t="shared" si="11"/>
        <v>0</v>
      </c>
      <c r="E72" s="17">
        <f t="shared" si="11"/>
        <v>0</v>
      </c>
      <c r="F72" s="17">
        <f t="shared" si="11"/>
        <v>0</v>
      </c>
      <c r="G72" s="17">
        <f t="shared" si="11"/>
        <v>85339.61080538432</v>
      </c>
      <c r="H72" s="17">
        <f t="shared" si="11"/>
        <v>0</v>
      </c>
      <c r="I72" s="17">
        <f t="shared" si="11"/>
        <v>0</v>
      </c>
      <c r="J72" s="17">
        <f t="shared" si="11"/>
        <v>0</v>
      </c>
      <c r="K72" s="25"/>
      <c r="L72" s="17" t="str">
        <f ca="1">IF(Message&lt;&gt;"",Message,+Taxes!Q78)</f>
        <v>EXPIRED</v>
      </c>
      <c r="M72" s="17" t="str">
        <f ca="1">IF(Message&lt;&gt;"","--",+SUM(D72:J72)+Investments!P73)</f>
        <v>--</v>
      </c>
      <c r="N72" s="17" t="str">
        <f ca="1">IF(Message&lt;&gt;"",Message,+Taxes!AA78)</f>
        <v>EXPIRED</v>
      </c>
      <c r="O72" s="17" t="str">
        <f t="shared" ca="1" si="10"/>
        <v>--</v>
      </c>
      <c r="P72" s="38" t="str">
        <f ca="1">IF(Message&lt;&gt;"",Message,IF(M72&lt;0,"NA",+IFERROR(IF(N72/(M72-Taxes!N78)&lt;0,"NA",N72/(M72-Taxes!N78)),"NA")))</f>
        <v>EXPIRED</v>
      </c>
      <c r="Q72" s="25"/>
    </row>
    <row r="73" spans="1:17" x14ac:dyDescent="0.25">
      <c r="A73" s="14">
        <f t="shared" si="4"/>
        <v>63</v>
      </c>
      <c r="B73" s="14">
        <f t="shared" si="4"/>
        <v>103</v>
      </c>
      <c r="C73" s="38">
        <f t="shared" si="8"/>
        <v>3.4818561208596792</v>
      </c>
      <c r="D73" s="17">
        <f t="shared" si="11"/>
        <v>0</v>
      </c>
      <c r="E73" s="17">
        <f t="shared" si="11"/>
        <v>0</v>
      </c>
      <c r="F73" s="17">
        <f t="shared" si="11"/>
        <v>0</v>
      </c>
      <c r="G73" s="17">
        <f t="shared" si="11"/>
        <v>87046.403021491977</v>
      </c>
      <c r="H73" s="17">
        <f t="shared" si="11"/>
        <v>0</v>
      </c>
      <c r="I73" s="17">
        <f t="shared" si="11"/>
        <v>0</v>
      </c>
      <c r="J73" s="17">
        <f t="shared" si="11"/>
        <v>0</v>
      </c>
      <c r="K73" s="25"/>
      <c r="L73" s="17" t="str">
        <f ca="1">IF(Message&lt;&gt;"",Message,+Taxes!Q79)</f>
        <v>EXPIRED</v>
      </c>
      <c r="M73" s="17" t="str">
        <f ca="1">IF(Message&lt;&gt;"","--",+SUM(D73:J73)+Investments!P74)</f>
        <v>--</v>
      </c>
      <c r="N73" s="17" t="str">
        <f ca="1">IF(Message&lt;&gt;"",Message,+Taxes!AA79)</f>
        <v>EXPIRED</v>
      </c>
      <c r="O73" s="17" t="str">
        <f t="shared" ca="1" si="10"/>
        <v>--</v>
      </c>
      <c r="P73" s="38" t="str">
        <f ca="1">IF(Message&lt;&gt;"",Message,IF(M73&lt;0,"NA",+IFERROR(IF(N73/(M73-Taxes!N79)&lt;0,"NA",N73/(M73-Taxes!N79)),"NA")))</f>
        <v>EXPIRED</v>
      </c>
      <c r="Q73" s="25"/>
    </row>
    <row r="74" spans="1:17" x14ac:dyDescent="0.25">
      <c r="A74" s="14">
        <f t="shared" si="4"/>
        <v>64</v>
      </c>
      <c r="B74" s="14">
        <f t="shared" si="4"/>
        <v>104</v>
      </c>
      <c r="C74" s="38">
        <f t="shared" ref="C74:C110" si="12">+(1+inflation)^A74</f>
        <v>3.5514932432768735</v>
      </c>
      <c r="D74" s="17">
        <f t="shared" si="11"/>
        <v>0</v>
      </c>
      <c r="E74" s="17">
        <f t="shared" si="11"/>
        <v>0</v>
      </c>
      <c r="F74" s="17">
        <f t="shared" si="11"/>
        <v>0</v>
      </c>
      <c r="G74" s="17">
        <f t="shared" si="11"/>
        <v>88787.331081921846</v>
      </c>
      <c r="H74" s="17">
        <f t="shared" si="11"/>
        <v>0</v>
      </c>
      <c r="I74" s="17">
        <f t="shared" si="11"/>
        <v>0</v>
      </c>
      <c r="J74" s="17">
        <f t="shared" si="11"/>
        <v>0</v>
      </c>
      <c r="K74" s="25"/>
      <c r="L74" s="17" t="str">
        <f ca="1">IF(Message&lt;&gt;"",Message,+Taxes!Q80)</f>
        <v>EXPIRED</v>
      </c>
      <c r="M74" s="17" t="str">
        <f ca="1">IF(Message&lt;&gt;"","--",+SUM(D74:J74)+Investments!P75)</f>
        <v>--</v>
      </c>
      <c r="N74" s="17" t="str">
        <f ca="1">IF(Message&lt;&gt;"",Message,+Taxes!AA80)</f>
        <v>EXPIRED</v>
      </c>
      <c r="O74" s="17" t="str">
        <f t="shared" ca="1" si="10"/>
        <v>--</v>
      </c>
      <c r="P74" s="38" t="str">
        <f ca="1">IF(Message&lt;&gt;"",Message,IF(M74&lt;0,"NA",+IFERROR(IF(N74/(M74-Taxes!N80)&lt;0,"NA",N74/(M74-Taxes!N80)),"NA")))</f>
        <v>EXPIRED</v>
      </c>
      <c r="Q74" s="25"/>
    </row>
    <row r="75" spans="1:17" x14ac:dyDescent="0.25">
      <c r="A75" s="14">
        <f t="shared" si="4"/>
        <v>65</v>
      </c>
      <c r="B75" s="14">
        <f t="shared" si="4"/>
        <v>105</v>
      </c>
      <c r="C75" s="38">
        <f t="shared" si="12"/>
        <v>3.6225231081424112</v>
      </c>
      <c r="D75" s="17">
        <f t="shared" ref="D75:J90" si="13">IF(OR($B75&gt;D$7,$B75&lt;D$6),0,IF(D$4,MIN(D$4,D$2*(1+D$3)^$A75),D$2*(1+D$3)^$A75))*$C75</f>
        <v>0</v>
      </c>
      <c r="E75" s="17">
        <f t="shared" si="13"/>
        <v>0</v>
      </c>
      <c r="F75" s="17">
        <f t="shared" si="13"/>
        <v>0</v>
      </c>
      <c r="G75" s="17">
        <f t="shared" si="13"/>
        <v>90563.07770356028</v>
      </c>
      <c r="H75" s="17">
        <f t="shared" si="13"/>
        <v>0</v>
      </c>
      <c r="I75" s="17">
        <f t="shared" si="13"/>
        <v>0</v>
      </c>
      <c r="J75" s="17">
        <f t="shared" si="13"/>
        <v>0</v>
      </c>
      <c r="K75" s="25"/>
      <c r="L75" s="17" t="str">
        <f ca="1">IF(Message&lt;&gt;"",Message,+Taxes!Q81)</f>
        <v>EXPIRED</v>
      </c>
      <c r="M75" s="17" t="str">
        <f ca="1">IF(Message&lt;&gt;"","--",+SUM(D75:J75)+Investments!P76)</f>
        <v>--</v>
      </c>
      <c r="N75" s="17" t="str">
        <f ca="1">IF(Message&lt;&gt;"",Message,+Taxes!AA81)</f>
        <v>EXPIRED</v>
      </c>
      <c r="O75" s="17" t="str">
        <f t="shared" ca="1" si="10"/>
        <v>--</v>
      </c>
      <c r="P75" s="38" t="str">
        <f ca="1">IF(Message&lt;&gt;"",Message,IF(M75&lt;0,"NA",+IFERROR(IF(N75/(M75-Taxes!N81)&lt;0,"NA",N75/(M75-Taxes!N81)),"NA")))</f>
        <v>EXPIRED</v>
      </c>
      <c r="Q75" s="25"/>
    </row>
    <row r="76" spans="1:17" x14ac:dyDescent="0.25">
      <c r="A76" s="14">
        <f t="shared" ref="A76:B110" si="14">+A75+1</f>
        <v>66</v>
      </c>
      <c r="B76" s="14">
        <f t="shared" si="14"/>
        <v>106</v>
      </c>
      <c r="C76" s="38">
        <f t="shared" si="12"/>
        <v>3.6949735703052591</v>
      </c>
      <c r="D76" s="17">
        <f t="shared" si="13"/>
        <v>0</v>
      </c>
      <c r="E76" s="17">
        <f t="shared" si="13"/>
        <v>0</v>
      </c>
      <c r="F76" s="17">
        <f t="shared" si="13"/>
        <v>0</v>
      </c>
      <c r="G76" s="17">
        <f t="shared" si="13"/>
        <v>92374.33925763148</v>
      </c>
      <c r="H76" s="17">
        <f t="shared" si="13"/>
        <v>0</v>
      </c>
      <c r="I76" s="17">
        <f t="shared" si="13"/>
        <v>0</v>
      </c>
      <c r="J76" s="17">
        <f t="shared" si="13"/>
        <v>0</v>
      </c>
      <c r="K76" s="25"/>
      <c r="L76" s="17" t="str">
        <f ca="1">IF(Message&lt;&gt;"",Message,+Taxes!Q82)</f>
        <v>EXPIRED</v>
      </c>
      <c r="M76" s="17" t="str">
        <f ca="1">IF(Message&lt;&gt;"","--",+SUM(D76:J76)+Investments!P77)</f>
        <v>--</v>
      </c>
      <c r="N76" s="17" t="str">
        <f ca="1">IF(Message&lt;&gt;"",Message,+Taxes!AA82)</f>
        <v>EXPIRED</v>
      </c>
      <c r="O76" s="17" t="str">
        <f t="shared" ca="1" si="10"/>
        <v>--</v>
      </c>
      <c r="P76" s="38" t="str">
        <f ca="1">IF(Message&lt;&gt;"",Message,IF(M76&lt;0,"NA",+IFERROR(IF(N76/(M76-Taxes!N82)&lt;0,"NA",N76/(M76-Taxes!N82)),"NA")))</f>
        <v>EXPIRED</v>
      </c>
      <c r="Q76" s="25"/>
    </row>
    <row r="77" spans="1:17" x14ac:dyDescent="0.25">
      <c r="A77" s="14">
        <f t="shared" si="14"/>
        <v>67</v>
      </c>
      <c r="B77" s="14">
        <f t="shared" si="14"/>
        <v>107</v>
      </c>
      <c r="C77" s="38">
        <f t="shared" si="12"/>
        <v>3.7688730417113643</v>
      </c>
      <c r="D77" s="17">
        <f t="shared" si="13"/>
        <v>0</v>
      </c>
      <c r="E77" s="17">
        <f t="shared" si="13"/>
        <v>0</v>
      </c>
      <c r="F77" s="17">
        <f t="shared" si="13"/>
        <v>0</v>
      </c>
      <c r="G77" s="17">
        <f t="shared" si="13"/>
        <v>94221.826042784101</v>
      </c>
      <c r="H77" s="17">
        <f t="shared" si="13"/>
        <v>0</v>
      </c>
      <c r="I77" s="17">
        <f t="shared" si="13"/>
        <v>0</v>
      </c>
      <c r="J77" s="17">
        <f t="shared" si="13"/>
        <v>0</v>
      </c>
      <c r="K77" s="25"/>
      <c r="L77" s="17" t="str">
        <f ca="1">IF(Message&lt;&gt;"",Message,+Taxes!Q83)</f>
        <v>EXPIRED</v>
      </c>
      <c r="M77" s="17" t="str">
        <f ca="1">IF(Message&lt;&gt;"","--",+SUM(D77:J77)+Investments!P78)</f>
        <v>--</v>
      </c>
      <c r="N77" s="17" t="str">
        <f ca="1">IF(Message&lt;&gt;"",Message,+Taxes!AA83)</f>
        <v>EXPIRED</v>
      </c>
      <c r="O77" s="17" t="str">
        <f t="shared" ca="1" si="10"/>
        <v>--</v>
      </c>
      <c r="P77" s="38" t="str">
        <f ca="1">IF(Message&lt;&gt;"",Message,IF(M77&lt;0,"NA",+IFERROR(IF(N77/(M77-Taxes!N83)&lt;0,"NA",N77/(M77-Taxes!N83)),"NA")))</f>
        <v>EXPIRED</v>
      </c>
      <c r="Q77" s="25"/>
    </row>
    <row r="78" spans="1:17" x14ac:dyDescent="0.25">
      <c r="A78" s="14">
        <f t="shared" si="14"/>
        <v>68</v>
      </c>
      <c r="B78" s="14">
        <f t="shared" si="14"/>
        <v>108</v>
      </c>
      <c r="C78" s="38">
        <f t="shared" si="12"/>
        <v>3.8442505025455915</v>
      </c>
      <c r="D78" s="17">
        <f t="shared" si="13"/>
        <v>0</v>
      </c>
      <c r="E78" s="17">
        <f t="shared" si="13"/>
        <v>0</v>
      </c>
      <c r="F78" s="17">
        <f t="shared" si="13"/>
        <v>0</v>
      </c>
      <c r="G78" s="17">
        <f t="shared" si="13"/>
        <v>96106.262563639786</v>
      </c>
      <c r="H78" s="17">
        <f t="shared" si="13"/>
        <v>0</v>
      </c>
      <c r="I78" s="17">
        <f t="shared" si="13"/>
        <v>0</v>
      </c>
      <c r="J78" s="17">
        <f t="shared" si="13"/>
        <v>0</v>
      </c>
      <c r="K78" s="25"/>
      <c r="L78" s="17" t="str">
        <f ca="1">IF(Message&lt;&gt;"",Message,+Taxes!Q84)</f>
        <v>EXPIRED</v>
      </c>
      <c r="M78" s="17" t="str">
        <f ca="1">IF(Message&lt;&gt;"","--",+SUM(D78:J78)+Investments!P79)</f>
        <v>--</v>
      </c>
      <c r="N78" s="17" t="str">
        <f ca="1">IF(Message&lt;&gt;"",Message,+Taxes!AA84)</f>
        <v>EXPIRED</v>
      </c>
      <c r="O78" s="17" t="str">
        <f t="shared" ca="1" si="10"/>
        <v>--</v>
      </c>
      <c r="P78" s="38" t="str">
        <f ca="1">IF(Message&lt;&gt;"",Message,IF(M78&lt;0,"NA",+IFERROR(IF(N78/(M78-Taxes!N84)&lt;0,"NA",N78/(M78-Taxes!N84)),"NA")))</f>
        <v>EXPIRED</v>
      </c>
      <c r="Q78" s="25"/>
    </row>
    <row r="79" spans="1:17" x14ac:dyDescent="0.25">
      <c r="A79" s="14">
        <f t="shared" si="14"/>
        <v>69</v>
      </c>
      <c r="B79" s="14">
        <f t="shared" si="14"/>
        <v>109</v>
      </c>
      <c r="C79" s="38">
        <f t="shared" si="12"/>
        <v>3.9211355125965035</v>
      </c>
      <c r="D79" s="17">
        <f t="shared" si="13"/>
        <v>0</v>
      </c>
      <c r="E79" s="17">
        <f t="shared" si="13"/>
        <v>0</v>
      </c>
      <c r="F79" s="17">
        <f t="shared" si="13"/>
        <v>0</v>
      </c>
      <c r="G79" s="17">
        <f t="shared" si="13"/>
        <v>98028.387814912581</v>
      </c>
      <c r="H79" s="17">
        <f t="shared" si="13"/>
        <v>0</v>
      </c>
      <c r="I79" s="17">
        <f t="shared" si="13"/>
        <v>0</v>
      </c>
      <c r="J79" s="17">
        <f t="shared" si="13"/>
        <v>0</v>
      </c>
      <c r="K79" s="25"/>
      <c r="L79" s="17" t="str">
        <f ca="1">IF(Message&lt;&gt;"",Message,+Taxes!Q85)</f>
        <v>EXPIRED</v>
      </c>
      <c r="M79" s="17" t="str">
        <f ca="1">IF(Message&lt;&gt;"","--",+SUM(D79:J79)+Investments!P80)</f>
        <v>--</v>
      </c>
      <c r="N79" s="17" t="str">
        <f ca="1">IF(Message&lt;&gt;"",Message,+Taxes!AA85)</f>
        <v>EXPIRED</v>
      </c>
      <c r="O79" s="17" t="str">
        <f t="shared" ca="1" si="10"/>
        <v>--</v>
      </c>
      <c r="P79" s="38" t="str">
        <f ca="1">IF(Message&lt;&gt;"",Message,IF(M79&lt;0,"NA",+IFERROR(IF(N79/(M79-Taxes!N85)&lt;0,"NA",N79/(M79-Taxes!N85)),"NA")))</f>
        <v>EXPIRED</v>
      </c>
      <c r="Q79" s="25"/>
    </row>
    <row r="80" spans="1:17" x14ac:dyDescent="0.25">
      <c r="A80" s="14">
        <f t="shared" si="14"/>
        <v>70</v>
      </c>
      <c r="B80" s="14">
        <f t="shared" si="14"/>
        <v>110</v>
      </c>
      <c r="C80" s="38">
        <f t="shared" si="12"/>
        <v>3.9995582228484339</v>
      </c>
      <c r="D80" s="17">
        <f t="shared" si="13"/>
        <v>0</v>
      </c>
      <c r="E80" s="17">
        <f t="shared" si="13"/>
        <v>0</v>
      </c>
      <c r="F80" s="17">
        <f t="shared" si="13"/>
        <v>0</v>
      </c>
      <c r="G80" s="17">
        <f t="shared" si="13"/>
        <v>99988.955571210841</v>
      </c>
      <c r="H80" s="17">
        <f t="shared" si="13"/>
        <v>0</v>
      </c>
      <c r="I80" s="17">
        <f t="shared" si="13"/>
        <v>0</v>
      </c>
      <c r="J80" s="17">
        <f t="shared" si="13"/>
        <v>0</v>
      </c>
      <c r="K80" s="25"/>
      <c r="L80" s="17" t="str">
        <f ca="1">IF(Message&lt;&gt;"",Message,+Taxes!Q86)</f>
        <v>EXPIRED</v>
      </c>
      <c r="M80" s="17" t="str">
        <f ca="1">IF(Message&lt;&gt;"","--",+SUM(D80:J80)+Investments!P81)</f>
        <v>--</v>
      </c>
      <c r="N80" s="17" t="str">
        <f ca="1">IF(Message&lt;&gt;"",Message,+Taxes!AA86)</f>
        <v>EXPIRED</v>
      </c>
      <c r="O80" s="17" t="str">
        <f t="shared" ref="O80:O110" ca="1" si="15">IF(Message&lt;&gt;"","--",+M80-N80)</f>
        <v>--</v>
      </c>
      <c r="P80" s="38" t="str">
        <f ca="1">IF(Message&lt;&gt;"",Message,IF(M80&lt;0,"NA",+IFERROR(IF(N80/(M80-Taxes!N86)&lt;0,"NA",N80/(M80-Taxes!N86)),"NA")))</f>
        <v>EXPIRED</v>
      </c>
      <c r="Q80" s="25"/>
    </row>
    <row r="81" spans="1:17" x14ac:dyDescent="0.25">
      <c r="A81" s="14">
        <f t="shared" si="14"/>
        <v>71</v>
      </c>
      <c r="B81" s="14">
        <f t="shared" si="14"/>
        <v>111</v>
      </c>
      <c r="C81" s="38">
        <f t="shared" si="12"/>
        <v>4.0795493873054021</v>
      </c>
      <c r="D81" s="17">
        <f t="shared" si="13"/>
        <v>0</v>
      </c>
      <c r="E81" s="17">
        <f t="shared" si="13"/>
        <v>0</v>
      </c>
      <c r="F81" s="17">
        <f t="shared" si="13"/>
        <v>0</v>
      </c>
      <c r="G81" s="17">
        <f t="shared" si="13"/>
        <v>101988.73468263505</v>
      </c>
      <c r="H81" s="17">
        <f t="shared" si="13"/>
        <v>0</v>
      </c>
      <c r="I81" s="17">
        <f t="shared" si="13"/>
        <v>0</v>
      </c>
      <c r="J81" s="17">
        <f t="shared" si="13"/>
        <v>0</v>
      </c>
      <c r="K81" s="25"/>
      <c r="L81" s="17" t="str">
        <f ca="1">IF(Message&lt;&gt;"",Message,+Taxes!Q87)</f>
        <v>EXPIRED</v>
      </c>
      <c r="M81" s="17" t="str">
        <f ca="1">IF(Message&lt;&gt;"","--",+SUM(D81:J81)+Investments!P82)</f>
        <v>--</v>
      </c>
      <c r="N81" s="17" t="str">
        <f ca="1">IF(Message&lt;&gt;"",Message,+Taxes!AA87)</f>
        <v>EXPIRED</v>
      </c>
      <c r="O81" s="17" t="str">
        <f t="shared" ca="1" si="15"/>
        <v>--</v>
      </c>
      <c r="P81" s="38" t="str">
        <f ca="1">IF(Message&lt;&gt;"",Message,IF(M81&lt;0,"NA",+IFERROR(IF(N81/(M81-Taxes!N87)&lt;0,"NA",N81/(M81-Taxes!N87)),"NA")))</f>
        <v>EXPIRED</v>
      </c>
      <c r="Q81" s="25"/>
    </row>
    <row r="82" spans="1:17" x14ac:dyDescent="0.25">
      <c r="A82" s="14">
        <f t="shared" si="14"/>
        <v>72</v>
      </c>
      <c r="B82" s="14">
        <f t="shared" si="14"/>
        <v>112</v>
      </c>
      <c r="C82" s="38">
        <f t="shared" si="12"/>
        <v>4.1611403750515104</v>
      </c>
      <c r="D82" s="17">
        <f t="shared" si="13"/>
        <v>0</v>
      </c>
      <c r="E82" s="17">
        <f t="shared" si="13"/>
        <v>0</v>
      </c>
      <c r="F82" s="17">
        <f t="shared" si="13"/>
        <v>0</v>
      </c>
      <c r="G82" s="17">
        <f t="shared" si="13"/>
        <v>104028.50937628777</v>
      </c>
      <c r="H82" s="17">
        <f t="shared" si="13"/>
        <v>0</v>
      </c>
      <c r="I82" s="17">
        <f t="shared" si="13"/>
        <v>0</v>
      </c>
      <c r="J82" s="17">
        <f t="shared" si="13"/>
        <v>0</v>
      </c>
      <c r="K82" s="25"/>
      <c r="L82" s="17" t="str">
        <f ca="1">IF(Message&lt;&gt;"",Message,+Taxes!Q88)</f>
        <v>EXPIRED</v>
      </c>
      <c r="M82" s="17" t="str">
        <f ca="1">IF(Message&lt;&gt;"","--",+SUM(D82:J82)+Investments!P83)</f>
        <v>--</v>
      </c>
      <c r="N82" s="17" t="str">
        <f ca="1">IF(Message&lt;&gt;"",Message,+Taxes!AA88)</f>
        <v>EXPIRED</v>
      </c>
      <c r="O82" s="17" t="str">
        <f t="shared" ca="1" si="15"/>
        <v>--</v>
      </c>
      <c r="P82" s="38" t="str">
        <f ca="1">IF(Message&lt;&gt;"",Message,IF(M82&lt;0,"NA",+IFERROR(IF(N82/(M82-Taxes!N88)&lt;0,"NA",N82/(M82-Taxes!N88)),"NA")))</f>
        <v>EXPIRED</v>
      </c>
      <c r="Q82" s="25"/>
    </row>
    <row r="83" spans="1:17" x14ac:dyDescent="0.25">
      <c r="A83" s="14">
        <f t="shared" si="14"/>
        <v>73</v>
      </c>
      <c r="B83" s="14">
        <f t="shared" si="14"/>
        <v>113</v>
      </c>
      <c r="C83" s="38">
        <f t="shared" si="12"/>
        <v>4.2443631825525401</v>
      </c>
      <c r="D83" s="17">
        <f t="shared" si="13"/>
        <v>0</v>
      </c>
      <c r="E83" s="17">
        <f t="shared" si="13"/>
        <v>0</v>
      </c>
      <c r="F83" s="17">
        <f t="shared" si="13"/>
        <v>0</v>
      </c>
      <c r="G83" s="17">
        <f t="shared" si="13"/>
        <v>106109.0795638135</v>
      </c>
      <c r="H83" s="17">
        <f t="shared" si="13"/>
        <v>0</v>
      </c>
      <c r="I83" s="17">
        <f t="shared" si="13"/>
        <v>0</v>
      </c>
      <c r="J83" s="17">
        <f t="shared" si="13"/>
        <v>0</v>
      </c>
      <c r="K83" s="25"/>
      <c r="L83" s="17" t="str">
        <f ca="1">IF(Message&lt;&gt;"",Message,+Taxes!Q89)</f>
        <v>EXPIRED</v>
      </c>
      <c r="M83" s="17" t="str">
        <f ca="1">IF(Message&lt;&gt;"","--",+SUM(D83:J83)+Investments!P84)</f>
        <v>--</v>
      </c>
      <c r="N83" s="17" t="str">
        <f ca="1">IF(Message&lt;&gt;"",Message,+Taxes!AA89)</f>
        <v>EXPIRED</v>
      </c>
      <c r="O83" s="17" t="str">
        <f t="shared" ca="1" si="15"/>
        <v>--</v>
      </c>
      <c r="P83" s="38" t="str">
        <f ca="1">IF(Message&lt;&gt;"",Message,IF(M83&lt;0,"NA",+IFERROR(IF(N83/(M83-Taxes!N89)&lt;0,"NA",N83/(M83-Taxes!N89)),"NA")))</f>
        <v>EXPIRED</v>
      </c>
      <c r="Q83" s="25"/>
    </row>
    <row r="84" spans="1:17" x14ac:dyDescent="0.25">
      <c r="A84" s="14">
        <f t="shared" si="14"/>
        <v>74</v>
      </c>
      <c r="B84" s="14">
        <f t="shared" si="14"/>
        <v>114</v>
      </c>
      <c r="C84" s="38">
        <f t="shared" si="12"/>
        <v>4.3292504462035915</v>
      </c>
      <c r="D84" s="17">
        <f t="shared" si="13"/>
        <v>0</v>
      </c>
      <c r="E84" s="17">
        <f t="shared" si="13"/>
        <v>0</v>
      </c>
      <c r="F84" s="17">
        <f t="shared" si="13"/>
        <v>0</v>
      </c>
      <c r="G84" s="17">
        <f t="shared" si="13"/>
        <v>108231.26115508979</v>
      </c>
      <c r="H84" s="17">
        <f t="shared" si="13"/>
        <v>0</v>
      </c>
      <c r="I84" s="17">
        <f t="shared" si="13"/>
        <v>0</v>
      </c>
      <c r="J84" s="17">
        <f t="shared" si="13"/>
        <v>0</v>
      </c>
      <c r="K84" s="25"/>
      <c r="L84" s="17" t="str">
        <f ca="1">IF(Message&lt;&gt;"",Message,+Taxes!Q90)</f>
        <v>EXPIRED</v>
      </c>
      <c r="M84" s="17" t="str">
        <f ca="1">IF(Message&lt;&gt;"","--",+SUM(D84:J84)+Investments!P85)</f>
        <v>--</v>
      </c>
      <c r="N84" s="17" t="str">
        <f ca="1">IF(Message&lt;&gt;"",Message,+Taxes!AA90)</f>
        <v>EXPIRED</v>
      </c>
      <c r="O84" s="17" t="str">
        <f t="shared" ca="1" si="15"/>
        <v>--</v>
      </c>
      <c r="P84" s="38" t="str">
        <f ca="1">IF(Message&lt;&gt;"",Message,IF(M84&lt;0,"NA",+IFERROR(IF(N84/(M84-Taxes!N90)&lt;0,"NA",N84/(M84-Taxes!N90)),"NA")))</f>
        <v>EXPIRED</v>
      </c>
      <c r="Q84" s="25"/>
    </row>
    <row r="85" spans="1:17" x14ac:dyDescent="0.25">
      <c r="A85" s="14">
        <f t="shared" si="14"/>
        <v>75</v>
      </c>
      <c r="B85" s="14">
        <f t="shared" si="14"/>
        <v>115</v>
      </c>
      <c r="C85" s="38">
        <f t="shared" si="12"/>
        <v>4.4158354551276622</v>
      </c>
      <c r="D85" s="17">
        <f t="shared" si="13"/>
        <v>0</v>
      </c>
      <c r="E85" s="17">
        <f t="shared" si="13"/>
        <v>0</v>
      </c>
      <c r="F85" s="17">
        <f t="shared" si="13"/>
        <v>0</v>
      </c>
      <c r="G85" s="17">
        <f t="shared" si="13"/>
        <v>110395.88637819156</v>
      </c>
      <c r="H85" s="17">
        <f t="shared" si="13"/>
        <v>0</v>
      </c>
      <c r="I85" s="17">
        <f t="shared" si="13"/>
        <v>0</v>
      </c>
      <c r="J85" s="17">
        <f t="shared" si="13"/>
        <v>0</v>
      </c>
      <c r="K85" s="25"/>
      <c r="L85" s="17" t="str">
        <f ca="1">IF(Message&lt;&gt;"",Message,+Taxes!Q91)</f>
        <v>EXPIRED</v>
      </c>
      <c r="M85" s="17" t="str">
        <f ca="1">IF(Message&lt;&gt;"","--",+SUM(D85:J85)+Investments!P86)</f>
        <v>--</v>
      </c>
      <c r="N85" s="17" t="str">
        <f ca="1">IF(Message&lt;&gt;"",Message,+Taxes!AA91)</f>
        <v>EXPIRED</v>
      </c>
      <c r="O85" s="17" t="str">
        <f t="shared" ca="1" si="15"/>
        <v>--</v>
      </c>
      <c r="P85" s="38" t="str">
        <f ca="1">IF(Message&lt;&gt;"",Message,IF(M85&lt;0,"NA",+IFERROR(IF(N85/(M85-Taxes!N91)&lt;0,"NA",N85/(M85-Taxes!N91)),"NA")))</f>
        <v>EXPIRED</v>
      </c>
      <c r="Q85" s="25"/>
    </row>
    <row r="86" spans="1:17" x14ac:dyDescent="0.25">
      <c r="A86" s="14">
        <f t="shared" si="14"/>
        <v>76</v>
      </c>
      <c r="B86" s="14">
        <f t="shared" si="14"/>
        <v>116</v>
      </c>
      <c r="C86" s="38">
        <f t="shared" si="12"/>
        <v>4.5041521642302165</v>
      </c>
      <c r="D86" s="17">
        <f t="shared" si="13"/>
        <v>0</v>
      </c>
      <c r="E86" s="17">
        <f t="shared" si="13"/>
        <v>0</v>
      </c>
      <c r="F86" s="17">
        <f t="shared" si="13"/>
        <v>0</v>
      </c>
      <c r="G86" s="17">
        <f t="shared" si="13"/>
        <v>112603.80410575541</v>
      </c>
      <c r="H86" s="17">
        <f t="shared" si="13"/>
        <v>0</v>
      </c>
      <c r="I86" s="17">
        <f t="shared" si="13"/>
        <v>0</v>
      </c>
      <c r="J86" s="17">
        <f t="shared" si="13"/>
        <v>0</v>
      </c>
      <c r="K86" s="25"/>
      <c r="L86" s="17" t="str">
        <f ca="1">IF(Message&lt;&gt;"",Message,+Taxes!Q92)</f>
        <v>EXPIRED</v>
      </c>
      <c r="M86" s="17" t="str">
        <f ca="1">IF(Message&lt;&gt;"","--",+SUM(D86:J86)+Investments!P87)</f>
        <v>--</v>
      </c>
      <c r="N86" s="17" t="str">
        <f ca="1">IF(Message&lt;&gt;"",Message,+Taxes!AA92)</f>
        <v>EXPIRED</v>
      </c>
      <c r="O86" s="17" t="str">
        <f t="shared" ca="1" si="15"/>
        <v>--</v>
      </c>
      <c r="P86" s="38" t="str">
        <f ca="1">IF(Message&lt;&gt;"",Message,IF(M86&lt;0,"NA",+IFERROR(IF(N86/(M86-Taxes!N92)&lt;0,"NA",N86/(M86-Taxes!N92)),"NA")))</f>
        <v>EXPIRED</v>
      </c>
      <c r="Q86" s="25"/>
    </row>
    <row r="87" spans="1:17" x14ac:dyDescent="0.25">
      <c r="A87" s="14">
        <f t="shared" si="14"/>
        <v>77</v>
      </c>
      <c r="B87" s="14">
        <f t="shared" si="14"/>
        <v>117</v>
      </c>
      <c r="C87" s="38">
        <f t="shared" si="12"/>
        <v>4.5942352075148207</v>
      </c>
      <c r="D87" s="17">
        <f t="shared" si="13"/>
        <v>0</v>
      </c>
      <c r="E87" s="17">
        <f t="shared" si="13"/>
        <v>0</v>
      </c>
      <c r="F87" s="17">
        <f t="shared" si="13"/>
        <v>0</v>
      </c>
      <c r="G87" s="17">
        <f t="shared" si="13"/>
        <v>114855.88018787051</v>
      </c>
      <c r="H87" s="17">
        <f t="shared" si="13"/>
        <v>0</v>
      </c>
      <c r="I87" s="17">
        <f t="shared" si="13"/>
        <v>0</v>
      </c>
      <c r="J87" s="17">
        <f t="shared" si="13"/>
        <v>0</v>
      </c>
      <c r="K87" s="25"/>
      <c r="L87" s="17" t="str">
        <f ca="1">IF(Message&lt;&gt;"",Message,+Taxes!Q93)</f>
        <v>EXPIRED</v>
      </c>
      <c r="M87" s="17" t="str">
        <f ca="1">IF(Message&lt;&gt;"","--",+SUM(D87:J87)+Investments!P88)</f>
        <v>--</v>
      </c>
      <c r="N87" s="17" t="str">
        <f ca="1">IF(Message&lt;&gt;"",Message,+Taxes!AA93)</f>
        <v>EXPIRED</v>
      </c>
      <c r="O87" s="17" t="str">
        <f t="shared" ca="1" si="15"/>
        <v>--</v>
      </c>
      <c r="P87" s="38" t="str">
        <f ca="1">IF(Message&lt;&gt;"",Message,IF(M87&lt;0,"NA",+IFERROR(IF(N87/(M87-Taxes!N93)&lt;0,"NA",N87/(M87-Taxes!N93)),"NA")))</f>
        <v>EXPIRED</v>
      </c>
      <c r="Q87" s="25"/>
    </row>
    <row r="88" spans="1:17" x14ac:dyDescent="0.25">
      <c r="A88" s="14">
        <f t="shared" si="14"/>
        <v>78</v>
      </c>
      <c r="B88" s="14">
        <f t="shared" si="14"/>
        <v>118</v>
      </c>
      <c r="C88" s="38">
        <f t="shared" si="12"/>
        <v>4.6861199116651173</v>
      </c>
      <c r="D88" s="17">
        <f t="shared" si="13"/>
        <v>0</v>
      </c>
      <c r="E88" s="17">
        <f t="shared" si="13"/>
        <v>0</v>
      </c>
      <c r="F88" s="17">
        <f t="shared" si="13"/>
        <v>0</v>
      </c>
      <c r="G88" s="17">
        <f t="shared" si="13"/>
        <v>117152.99779162793</v>
      </c>
      <c r="H88" s="17">
        <f t="shared" si="13"/>
        <v>0</v>
      </c>
      <c r="I88" s="17">
        <f t="shared" si="13"/>
        <v>0</v>
      </c>
      <c r="J88" s="17">
        <f t="shared" si="13"/>
        <v>0</v>
      </c>
      <c r="K88" s="25"/>
      <c r="L88" s="17" t="str">
        <f ca="1">IF(Message&lt;&gt;"",Message,+Taxes!Q94)</f>
        <v>EXPIRED</v>
      </c>
      <c r="M88" s="17" t="str">
        <f ca="1">IF(Message&lt;&gt;"","--",+SUM(D88:J88)+Investments!P89)</f>
        <v>--</v>
      </c>
      <c r="N88" s="17" t="str">
        <f ca="1">IF(Message&lt;&gt;"",Message,+Taxes!AA94)</f>
        <v>EXPIRED</v>
      </c>
      <c r="O88" s="17" t="str">
        <f t="shared" ca="1" si="15"/>
        <v>--</v>
      </c>
      <c r="P88" s="38" t="str">
        <f ca="1">IF(Message&lt;&gt;"",Message,IF(M88&lt;0,"NA",+IFERROR(IF(N88/(M88-Taxes!N94)&lt;0,"NA",N88/(M88-Taxes!N94)),"NA")))</f>
        <v>EXPIRED</v>
      </c>
      <c r="Q88" s="25"/>
    </row>
    <row r="89" spans="1:17" x14ac:dyDescent="0.25">
      <c r="A89" s="14">
        <f t="shared" si="14"/>
        <v>79</v>
      </c>
      <c r="B89" s="14">
        <f t="shared" si="14"/>
        <v>119</v>
      </c>
      <c r="C89" s="38">
        <f t="shared" si="12"/>
        <v>4.7798423098984184</v>
      </c>
      <c r="D89" s="17">
        <f t="shared" si="13"/>
        <v>0</v>
      </c>
      <c r="E89" s="17">
        <f t="shared" si="13"/>
        <v>0</v>
      </c>
      <c r="F89" s="17">
        <f t="shared" si="13"/>
        <v>0</v>
      </c>
      <c r="G89" s="17">
        <f t="shared" si="13"/>
        <v>119496.05774746047</v>
      </c>
      <c r="H89" s="17">
        <f t="shared" si="13"/>
        <v>0</v>
      </c>
      <c r="I89" s="17">
        <f t="shared" si="13"/>
        <v>0</v>
      </c>
      <c r="J89" s="17">
        <f t="shared" si="13"/>
        <v>0</v>
      </c>
      <c r="K89" s="25"/>
      <c r="L89" s="17" t="str">
        <f ca="1">IF(Message&lt;&gt;"",Message,+Taxes!Q95)</f>
        <v>EXPIRED</v>
      </c>
      <c r="M89" s="17" t="str">
        <f ca="1">IF(Message&lt;&gt;"","--",+SUM(D89:J89)+Investments!P90)</f>
        <v>--</v>
      </c>
      <c r="N89" s="17" t="str">
        <f ca="1">IF(Message&lt;&gt;"",Message,+Taxes!AA95)</f>
        <v>EXPIRED</v>
      </c>
      <c r="O89" s="17" t="str">
        <f t="shared" ca="1" si="15"/>
        <v>--</v>
      </c>
      <c r="P89" s="38" t="str">
        <f ca="1">IF(Message&lt;&gt;"",Message,IF(M89&lt;0,"NA",+IFERROR(IF(N89/(M89-Taxes!N95)&lt;0,"NA",N89/(M89-Taxes!N95)),"NA")))</f>
        <v>EXPIRED</v>
      </c>
      <c r="Q89" s="25"/>
    </row>
    <row r="90" spans="1:17" x14ac:dyDescent="0.25">
      <c r="A90" s="14">
        <f t="shared" si="14"/>
        <v>80</v>
      </c>
      <c r="B90" s="14">
        <f t="shared" si="14"/>
        <v>120</v>
      </c>
      <c r="C90" s="38">
        <f t="shared" si="12"/>
        <v>4.8754391560963874</v>
      </c>
      <c r="D90" s="17">
        <f t="shared" si="13"/>
        <v>0</v>
      </c>
      <c r="E90" s="17">
        <f t="shared" si="13"/>
        <v>0</v>
      </c>
      <c r="F90" s="17">
        <f t="shared" si="13"/>
        <v>0</v>
      </c>
      <c r="G90" s="17">
        <f t="shared" si="13"/>
        <v>121885.97890240968</v>
      </c>
      <c r="H90" s="17">
        <f t="shared" si="13"/>
        <v>0</v>
      </c>
      <c r="I90" s="17">
        <f t="shared" si="13"/>
        <v>0</v>
      </c>
      <c r="J90" s="17">
        <f t="shared" si="13"/>
        <v>0</v>
      </c>
      <c r="K90" s="25"/>
      <c r="L90" s="17" t="str">
        <f ca="1">IF(Message&lt;&gt;"",Message,+Taxes!Q96)</f>
        <v>EXPIRED</v>
      </c>
      <c r="M90" s="17" t="str">
        <f ca="1">IF(Message&lt;&gt;"","--",+SUM(D90:J90)+Investments!P91)</f>
        <v>--</v>
      </c>
      <c r="N90" s="17" t="str">
        <f ca="1">IF(Message&lt;&gt;"",Message,+Taxes!AA96)</f>
        <v>EXPIRED</v>
      </c>
      <c r="O90" s="17" t="str">
        <f t="shared" ca="1" si="15"/>
        <v>--</v>
      </c>
      <c r="P90" s="38" t="str">
        <f ca="1">IF(Message&lt;&gt;"",Message,IF(M90&lt;0,"NA",+IFERROR(IF(N90/(M90-Taxes!N96)&lt;0,"NA",N90/(M90-Taxes!N96)),"NA")))</f>
        <v>EXPIRED</v>
      </c>
      <c r="Q90" s="25"/>
    </row>
    <row r="91" spans="1:17" x14ac:dyDescent="0.25">
      <c r="A91" s="14">
        <f t="shared" si="14"/>
        <v>81</v>
      </c>
      <c r="B91" s="14">
        <f t="shared" si="14"/>
        <v>121</v>
      </c>
      <c r="C91" s="38">
        <f t="shared" si="12"/>
        <v>4.9729479392183151</v>
      </c>
      <c r="D91" s="17">
        <f t="shared" ref="D91:J106" si="16">IF(OR($B91&gt;D$7,$B91&lt;D$6),0,IF(D$4,MIN(D$4,D$2*(1+D$3)^$A91),D$2*(1+D$3)^$A91))*$C91</f>
        <v>0</v>
      </c>
      <c r="E91" s="17">
        <f t="shared" si="16"/>
        <v>0</v>
      </c>
      <c r="F91" s="17">
        <f t="shared" si="16"/>
        <v>0</v>
      </c>
      <c r="G91" s="17">
        <f t="shared" si="16"/>
        <v>124323.69848045788</v>
      </c>
      <c r="H91" s="17">
        <f t="shared" si="16"/>
        <v>0</v>
      </c>
      <c r="I91" s="17">
        <f t="shared" si="16"/>
        <v>0</v>
      </c>
      <c r="J91" s="17">
        <f t="shared" si="16"/>
        <v>0</v>
      </c>
      <c r="K91" s="25"/>
      <c r="L91" s="17" t="str">
        <f ca="1">IF(Message&lt;&gt;"",Message,+Taxes!Q97)</f>
        <v>EXPIRED</v>
      </c>
      <c r="M91" s="17" t="str">
        <f ca="1">IF(Message&lt;&gt;"","--",+SUM(D91:J91)+Investments!P92)</f>
        <v>--</v>
      </c>
      <c r="N91" s="17" t="str">
        <f ca="1">IF(Message&lt;&gt;"",Message,+Taxes!AA97)</f>
        <v>EXPIRED</v>
      </c>
      <c r="O91" s="17" t="str">
        <f t="shared" ca="1" si="15"/>
        <v>--</v>
      </c>
      <c r="P91" s="38" t="str">
        <f ca="1">IF(Message&lt;&gt;"",Message,IF(M91&lt;0,"NA",+IFERROR(IF(N91/(M91-Taxes!N97)&lt;0,"NA",N91/(M91-Taxes!N97)),"NA")))</f>
        <v>EXPIRED</v>
      </c>
      <c r="Q91" s="25"/>
    </row>
    <row r="92" spans="1:17" x14ac:dyDescent="0.25">
      <c r="A92" s="14">
        <f t="shared" si="14"/>
        <v>82</v>
      </c>
      <c r="B92" s="14">
        <f t="shared" si="14"/>
        <v>122</v>
      </c>
      <c r="C92" s="38">
        <f t="shared" si="12"/>
        <v>5.0724068980026811</v>
      </c>
      <c r="D92" s="17">
        <f t="shared" si="16"/>
        <v>0</v>
      </c>
      <c r="E92" s="17">
        <f t="shared" si="16"/>
        <v>0</v>
      </c>
      <c r="F92" s="17">
        <f t="shared" si="16"/>
        <v>0</v>
      </c>
      <c r="G92" s="17">
        <f t="shared" si="16"/>
        <v>126810.17245006702</v>
      </c>
      <c r="H92" s="17">
        <f t="shared" si="16"/>
        <v>0</v>
      </c>
      <c r="I92" s="17">
        <f t="shared" si="16"/>
        <v>0</v>
      </c>
      <c r="J92" s="17">
        <f t="shared" si="16"/>
        <v>0</v>
      </c>
      <c r="K92" s="25"/>
      <c r="L92" s="17" t="str">
        <f ca="1">IF(Message&lt;&gt;"",Message,+Taxes!Q98)</f>
        <v>EXPIRED</v>
      </c>
      <c r="M92" s="17" t="str">
        <f ca="1">IF(Message&lt;&gt;"","--",+SUM(D92:J92)+Investments!P93)</f>
        <v>--</v>
      </c>
      <c r="N92" s="17" t="str">
        <f ca="1">IF(Message&lt;&gt;"",Message,+Taxes!AA98)</f>
        <v>EXPIRED</v>
      </c>
      <c r="O92" s="17" t="str">
        <f t="shared" ca="1" si="15"/>
        <v>--</v>
      </c>
      <c r="P92" s="38" t="str">
        <f ca="1">IF(Message&lt;&gt;"",Message,IF(M92&lt;0,"NA",+IFERROR(IF(N92/(M92-Taxes!N98)&lt;0,"NA",N92/(M92-Taxes!N98)),"NA")))</f>
        <v>EXPIRED</v>
      </c>
      <c r="Q92" s="25"/>
    </row>
    <row r="93" spans="1:17" x14ac:dyDescent="0.25">
      <c r="A93" s="14">
        <f t="shared" si="14"/>
        <v>83</v>
      </c>
      <c r="B93" s="14">
        <f t="shared" si="14"/>
        <v>123</v>
      </c>
      <c r="C93" s="38">
        <f t="shared" si="12"/>
        <v>5.1738550359627347</v>
      </c>
      <c r="D93" s="17">
        <f t="shared" si="16"/>
        <v>0</v>
      </c>
      <c r="E93" s="17">
        <f t="shared" si="16"/>
        <v>0</v>
      </c>
      <c r="F93" s="17">
        <f t="shared" si="16"/>
        <v>0</v>
      </c>
      <c r="G93" s="17">
        <f t="shared" si="16"/>
        <v>129346.37589906837</v>
      </c>
      <c r="H93" s="17">
        <f t="shared" si="16"/>
        <v>0</v>
      </c>
      <c r="I93" s="17">
        <f t="shared" si="16"/>
        <v>0</v>
      </c>
      <c r="J93" s="17">
        <f t="shared" si="16"/>
        <v>0</v>
      </c>
      <c r="K93" s="25"/>
      <c r="L93" s="17" t="str">
        <f ca="1">IF(Message&lt;&gt;"",Message,+Taxes!Q99)</f>
        <v>EXPIRED</v>
      </c>
      <c r="M93" s="17" t="str">
        <f ca="1">IF(Message&lt;&gt;"","--",+SUM(D93:J93)+Investments!P94)</f>
        <v>--</v>
      </c>
      <c r="N93" s="17" t="str">
        <f ca="1">IF(Message&lt;&gt;"",Message,+Taxes!AA99)</f>
        <v>EXPIRED</v>
      </c>
      <c r="O93" s="17" t="str">
        <f t="shared" ca="1" si="15"/>
        <v>--</v>
      </c>
      <c r="P93" s="38" t="str">
        <f ca="1">IF(Message&lt;&gt;"",Message,IF(M93&lt;0,"NA",+IFERROR(IF(N93/(M93-Taxes!N99)&lt;0,"NA",N93/(M93-Taxes!N99)),"NA")))</f>
        <v>EXPIRED</v>
      </c>
      <c r="Q93" s="25"/>
    </row>
    <row r="94" spans="1:17" x14ac:dyDescent="0.25">
      <c r="A94" s="14">
        <f t="shared" si="14"/>
        <v>84</v>
      </c>
      <c r="B94" s="14">
        <f t="shared" si="14"/>
        <v>124</v>
      </c>
      <c r="C94" s="38">
        <f t="shared" si="12"/>
        <v>5.2773321366819896</v>
      </c>
      <c r="D94" s="17">
        <f t="shared" si="16"/>
        <v>0</v>
      </c>
      <c r="E94" s="17">
        <f t="shared" si="16"/>
        <v>0</v>
      </c>
      <c r="F94" s="17">
        <f t="shared" si="16"/>
        <v>0</v>
      </c>
      <c r="G94" s="17">
        <f t="shared" si="16"/>
        <v>131933.30341704973</v>
      </c>
      <c r="H94" s="17">
        <f t="shared" si="16"/>
        <v>0</v>
      </c>
      <c r="I94" s="17">
        <f t="shared" si="16"/>
        <v>0</v>
      </c>
      <c r="J94" s="17">
        <f t="shared" si="16"/>
        <v>0</v>
      </c>
      <c r="K94" s="25"/>
      <c r="L94" s="17" t="str">
        <f ca="1">IF(Message&lt;&gt;"",Message,+Taxes!Q100)</f>
        <v>EXPIRED</v>
      </c>
      <c r="M94" s="17" t="str">
        <f ca="1">IF(Message&lt;&gt;"","--",+SUM(D94:J94)+Investments!P95)</f>
        <v>--</v>
      </c>
      <c r="N94" s="17" t="str">
        <f ca="1">IF(Message&lt;&gt;"",Message,+Taxes!AA100)</f>
        <v>EXPIRED</v>
      </c>
      <c r="O94" s="17" t="str">
        <f t="shared" ca="1" si="15"/>
        <v>--</v>
      </c>
      <c r="P94" s="38" t="str">
        <f ca="1">IF(Message&lt;&gt;"",Message,IF(M94&lt;0,"NA",+IFERROR(IF(N94/(M94-Taxes!N100)&lt;0,"NA",N94/(M94-Taxes!N100)),"NA")))</f>
        <v>EXPIRED</v>
      </c>
      <c r="Q94" s="25"/>
    </row>
    <row r="95" spans="1:17" x14ac:dyDescent="0.25">
      <c r="A95" s="14">
        <f t="shared" si="14"/>
        <v>85</v>
      </c>
      <c r="B95" s="14">
        <f t="shared" si="14"/>
        <v>125</v>
      </c>
      <c r="C95" s="38">
        <f t="shared" si="12"/>
        <v>5.3828787794156296</v>
      </c>
      <c r="D95" s="17">
        <f t="shared" si="16"/>
        <v>0</v>
      </c>
      <c r="E95" s="17">
        <f t="shared" si="16"/>
        <v>0</v>
      </c>
      <c r="F95" s="17">
        <f t="shared" si="16"/>
        <v>0</v>
      </c>
      <c r="G95" s="17">
        <f t="shared" si="16"/>
        <v>134571.96948539073</v>
      </c>
      <c r="H95" s="17">
        <f t="shared" si="16"/>
        <v>0</v>
      </c>
      <c r="I95" s="17">
        <f t="shared" si="16"/>
        <v>0</v>
      </c>
      <c r="J95" s="17">
        <f t="shared" si="16"/>
        <v>0</v>
      </c>
      <c r="K95" s="25"/>
      <c r="L95" s="17" t="str">
        <f ca="1">IF(Message&lt;&gt;"",Message,+Taxes!Q101)</f>
        <v>EXPIRED</v>
      </c>
      <c r="M95" s="17" t="str">
        <f ca="1">IF(Message&lt;&gt;"","--",+SUM(D95:J95)+Investments!P96)</f>
        <v>--</v>
      </c>
      <c r="N95" s="17" t="str">
        <f ca="1">IF(Message&lt;&gt;"",Message,+Taxes!AA101)</f>
        <v>EXPIRED</v>
      </c>
      <c r="O95" s="17" t="str">
        <f t="shared" ca="1" si="15"/>
        <v>--</v>
      </c>
      <c r="P95" s="38" t="str">
        <f ca="1">IF(Message&lt;&gt;"",Message,IF(M95&lt;0,"NA",+IFERROR(IF(N95/(M95-Taxes!N101)&lt;0,"NA",N95/(M95-Taxes!N101)),"NA")))</f>
        <v>EXPIRED</v>
      </c>
      <c r="Q95" s="25"/>
    </row>
    <row r="96" spans="1:17" x14ac:dyDescent="0.25">
      <c r="A96" s="14">
        <f t="shared" si="14"/>
        <v>86</v>
      </c>
      <c r="B96" s="14">
        <f t="shared" si="14"/>
        <v>126</v>
      </c>
      <c r="C96" s="38">
        <f t="shared" si="12"/>
        <v>5.4905363550039423</v>
      </c>
      <c r="D96" s="17">
        <f t="shared" si="16"/>
        <v>0</v>
      </c>
      <c r="E96" s="17">
        <f t="shared" si="16"/>
        <v>0</v>
      </c>
      <c r="F96" s="17">
        <f t="shared" si="16"/>
        <v>0</v>
      </c>
      <c r="G96" s="17">
        <f t="shared" si="16"/>
        <v>137263.40887509857</v>
      </c>
      <c r="H96" s="17">
        <f t="shared" si="16"/>
        <v>0</v>
      </c>
      <c r="I96" s="17">
        <f t="shared" si="16"/>
        <v>0</v>
      </c>
      <c r="J96" s="17">
        <f t="shared" si="16"/>
        <v>0</v>
      </c>
      <c r="K96" s="25"/>
      <c r="L96" s="17" t="str">
        <f ca="1">IF(Message&lt;&gt;"",Message,+Taxes!Q102)</f>
        <v>EXPIRED</v>
      </c>
      <c r="M96" s="17" t="str">
        <f ca="1">IF(Message&lt;&gt;"","--",+SUM(D96:J96)+Investments!P97)</f>
        <v>--</v>
      </c>
      <c r="N96" s="17" t="str">
        <f ca="1">IF(Message&lt;&gt;"",Message,+Taxes!AA102)</f>
        <v>EXPIRED</v>
      </c>
      <c r="O96" s="17" t="str">
        <f t="shared" ca="1" si="15"/>
        <v>--</v>
      </c>
      <c r="P96" s="38" t="str">
        <f ca="1">IF(Message&lt;&gt;"",Message,IF(M96&lt;0,"NA",+IFERROR(IF(N96/(M96-Taxes!N102)&lt;0,"NA",N96/(M96-Taxes!N102)),"NA")))</f>
        <v>EXPIRED</v>
      </c>
      <c r="Q96" s="25"/>
    </row>
    <row r="97" spans="1:17" x14ac:dyDescent="0.25">
      <c r="A97" s="14">
        <f t="shared" si="14"/>
        <v>87</v>
      </c>
      <c r="B97" s="14">
        <f t="shared" si="14"/>
        <v>127</v>
      </c>
      <c r="C97" s="38">
        <f t="shared" si="12"/>
        <v>5.6003470821040198</v>
      </c>
      <c r="D97" s="17">
        <f t="shared" si="16"/>
        <v>0</v>
      </c>
      <c r="E97" s="17">
        <f t="shared" si="16"/>
        <v>0</v>
      </c>
      <c r="F97" s="17">
        <f t="shared" si="16"/>
        <v>0</v>
      </c>
      <c r="G97" s="17">
        <f t="shared" si="16"/>
        <v>140008.67705260048</v>
      </c>
      <c r="H97" s="17">
        <f t="shared" si="16"/>
        <v>0</v>
      </c>
      <c r="I97" s="17">
        <f t="shared" si="16"/>
        <v>0</v>
      </c>
      <c r="J97" s="17">
        <f t="shared" si="16"/>
        <v>0</v>
      </c>
      <c r="K97" s="25"/>
      <c r="L97" s="17" t="str">
        <f ca="1">IF(Message&lt;&gt;"",Message,+Taxes!Q103)</f>
        <v>EXPIRED</v>
      </c>
      <c r="M97" s="17" t="str">
        <f ca="1">IF(Message&lt;&gt;"","--",+SUM(D97:J97)+Investments!P98)</f>
        <v>--</v>
      </c>
      <c r="N97" s="17" t="str">
        <f ca="1">IF(Message&lt;&gt;"",Message,+Taxes!AA103)</f>
        <v>EXPIRED</v>
      </c>
      <c r="O97" s="17" t="str">
        <f t="shared" ca="1" si="15"/>
        <v>--</v>
      </c>
      <c r="P97" s="38" t="str">
        <f ca="1">IF(Message&lt;&gt;"",Message,IF(M97&lt;0,"NA",+IFERROR(IF(N97/(M97-Taxes!N103)&lt;0,"NA",N97/(M97-Taxes!N103)),"NA")))</f>
        <v>EXPIRED</v>
      </c>
      <c r="Q97" s="25"/>
    </row>
    <row r="98" spans="1:17" x14ac:dyDescent="0.25">
      <c r="A98" s="14">
        <f t="shared" si="14"/>
        <v>88</v>
      </c>
      <c r="B98" s="14">
        <f t="shared" si="14"/>
        <v>128</v>
      </c>
      <c r="C98" s="38">
        <f t="shared" si="12"/>
        <v>5.7123540237461006</v>
      </c>
      <c r="D98" s="17">
        <f t="shared" si="16"/>
        <v>0</v>
      </c>
      <c r="E98" s="17">
        <f t="shared" si="16"/>
        <v>0</v>
      </c>
      <c r="F98" s="17">
        <f t="shared" si="16"/>
        <v>0</v>
      </c>
      <c r="G98" s="17">
        <f t="shared" si="16"/>
        <v>142808.85059365252</v>
      </c>
      <c r="H98" s="17">
        <f t="shared" si="16"/>
        <v>0</v>
      </c>
      <c r="I98" s="17">
        <f t="shared" si="16"/>
        <v>0</v>
      </c>
      <c r="J98" s="17">
        <f t="shared" si="16"/>
        <v>0</v>
      </c>
      <c r="K98" s="25"/>
      <c r="L98" s="17" t="str">
        <f ca="1">IF(Message&lt;&gt;"",Message,+Taxes!Q104)</f>
        <v>EXPIRED</v>
      </c>
      <c r="M98" s="17" t="str">
        <f ca="1">IF(Message&lt;&gt;"","--",+SUM(D98:J98)+Investments!P99)</f>
        <v>--</v>
      </c>
      <c r="N98" s="17" t="str">
        <f ca="1">IF(Message&lt;&gt;"",Message,+Taxes!AA104)</f>
        <v>EXPIRED</v>
      </c>
      <c r="O98" s="17" t="str">
        <f t="shared" ca="1" si="15"/>
        <v>--</v>
      </c>
      <c r="P98" s="38" t="str">
        <f ca="1">IF(Message&lt;&gt;"",Message,IF(M98&lt;0,"NA",+IFERROR(IF(N98/(M98-Taxes!N104)&lt;0,"NA",N98/(M98-Taxes!N104)),"NA")))</f>
        <v>EXPIRED</v>
      </c>
      <c r="Q98" s="25"/>
    </row>
    <row r="99" spans="1:17" x14ac:dyDescent="0.25">
      <c r="A99" s="14">
        <f t="shared" si="14"/>
        <v>89</v>
      </c>
      <c r="B99" s="14">
        <f t="shared" si="14"/>
        <v>129</v>
      </c>
      <c r="C99" s="38">
        <f t="shared" si="12"/>
        <v>5.8266011042210231</v>
      </c>
      <c r="D99" s="17">
        <f t="shared" si="16"/>
        <v>0</v>
      </c>
      <c r="E99" s="17">
        <f t="shared" si="16"/>
        <v>0</v>
      </c>
      <c r="F99" s="17">
        <f t="shared" si="16"/>
        <v>0</v>
      </c>
      <c r="G99" s="17">
        <f t="shared" si="16"/>
        <v>145665.02760552557</v>
      </c>
      <c r="H99" s="17">
        <f t="shared" si="16"/>
        <v>0</v>
      </c>
      <c r="I99" s="17">
        <f t="shared" si="16"/>
        <v>0</v>
      </c>
      <c r="J99" s="17">
        <f t="shared" si="16"/>
        <v>0</v>
      </c>
      <c r="K99" s="25"/>
      <c r="L99" s="17" t="str">
        <f ca="1">IF(Message&lt;&gt;"",Message,+Taxes!Q105)</f>
        <v>EXPIRED</v>
      </c>
      <c r="M99" s="17" t="str">
        <f ca="1">IF(Message&lt;&gt;"","--",+SUM(D99:J99)+Investments!P100)</f>
        <v>--</v>
      </c>
      <c r="N99" s="17" t="str">
        <f ca="1">IF(Message&lt;&gt;"",Message,+Taxes!AA105)</f>
        <v>EXPIRED</v>
      </c>
      <c r="O99" s="17" t="str">
        <f t="shared" ca="1" si="15"/>
        <v>--</v>
      </c>
      <c r="P99" s="38" t="str">
        <f ca="1">IF(Message&lt;&gt;"",Message,IF(M99&lt;0,"NA",+IFERROR(IF(N99/(M99-Taxes!N105)&lt;0,"NA",N99/(M99-Taxes!N105)),"NA")))</f>
        <v>EXPIRED</v>
      </c>
      <c r="Q99" s="25"/>
    </row>
    <row r="100" spans="1:17" x14ac:dyDescent="0.25">
      <c r="A100" s="14">
        <f t="shared" si="14"/>
        <v>90</v>
      </c>
      <c r="B100" s="14">
        <f t="shared" si="14"/>
        <v>130</v>
      </c>
      <c r="C100" s="38">
        <f t="shared" si="12"/>
        <v>5.9431331263054439</v>
      </c>
      <c r="D100" s="17">
        <f t="shared" si="16"/>
        <v>0</v>
      </c>
      <c r="E100" s="17">
        <f t="shared" si="16"/>
        <v>0</v>
      </c>
      <c r="F100" s="17">
        <f t="shared" si="16"/>
        <v>0</v>
      </c>
      <c r="G100" s="17">
        <f t="shared" si="16"/>
        <v>148578.3281576361</v>
      </c>
      <c r="H100" s="17">
        <f t="shared" si="16"/>
        <v>0</v>
      </c>
      <c r="I100" s="17">
        <f t="shared" si="16"/>
        <v>0</v>
      </c>
      <c r="J100" s="17">
        <f t="shared" si="16"/>
        <v>0</v>
      </c>
      <c r="K100" s="25"/>
      <c r="L100" s="17" t="str">
        <f ca="1">IF(Message&lt;&gt;"",Message,+Taxes!Q106)</f>
        <v>EXPIRED</v>
      </c>
      <c r="M100" s="17" t="str">
        <f ca="1">IF(Message&lt;&gt;"","--",+SUM(D100:J100)+Investments!P101)</f>
        <v>--</v>
      </c>
      <c r="N100" s="17" t="str">
        <f ca="1">IF(Message&lt;&gt;"",Message,+Taxes!AA106)</f>
        <v>EXPIRED</v>
      </c>
      <c r="O100" s="17" t="str">
        <f t="shared" ca="1" si="15"/>
        <v>--</v>
      </c>
      <c r="P100" s="38" t="str">
        <f ca="1">IF(Message&lt;&gt;"",Message,IF(M100&lt;0,"NA",+IFERROR(IF(N100/(M100-Taxes!N106)&lt;0,"NA",N100/(M100-Taxes!N106)),"NA")))</f>
        <v>EXPIRED</v>
      </c>
      <c r="Q100" s="25"/>
    </row>
    <row r="101" spans="1:17" x14ac:dyDescent="0.25">
      <c r="A101" s="14">
        <f t="shared" si="14"/>
        <v>91</v>
      </c>
      <c r="B101" s="14">
        <f t="shared" si="14"/>
        <v>131</v>
      </c>
      <c r="C101" s="38">
        <f t="shared" si="12"/>
        <v>6.0619957888315517</v>
      </c>
      <c r="D101" s="17">
        <f t="shared" si="16"/>
        <v>0</v>
      </c>
      <c r="E101" s="17">
        <f t="shared" si="16"/>
        <v>0</v>
      </c>
      <c r="F101" s="17">
        <f t="shared" si="16"/>
        <v>0</v>
      </c>
      <c r="G101" s="17">
        <f t="shared" si="16"/>
        <v>151549.89472078878</v>
      </c>
      <c r="H101" s="17">
        <f t="shared" si="16"/>
        <v>0</v>
      </c>
      <c r="I101" s="17">
        <f t="shared" si="16"/>
        <v>0</v>
      </c>
      <c r="J101" s="17">
        <f t="shared" si="16"/>
        <v>0</v>
      </c>
      <c r="K101" s="25"/>
      <c r="L101" s="17" t="str">
        <f ca="1">IF(Message&lt;&gt;"",Message,+Taxes!Q107)</f>
        <v>EXPIRED</v>
      </c>
      <c r="M101" s="17" t="str">
        <f ca="1">IF(Message&lt;&gt;"","--",+SUM(D101:J101)+Investments!P102)</f>
        <v>--</v>
      </c>
      <c r="N101" s="17" t="str">
        <f ca="1">IF(Message&lt;&gt;"",Message,+Taxes!AA107)</f>
        <v>EXPIRED</v>
      </c>
      <c r="O101" s="17" t="str">
        <f t="shared" ca="1" si="15"/>
        <v>--</v>
      </c>
      <c r="P101" s="38" t="str">
        <f ca="1">IF(Message&lt;&gt;"",Message,IF(M101&lt;0,"NA",+IFERROR(IF(N101/(M101-Taxes!N107)&lt;0,"NA",N101/(M101-Taxes!N107)),"NA")))</f>
        <v>EXPIRED</v>
      </c>
      <c r="Q101" s="25"/>
    </row>
    <row r="102" spans="1:17" x14ac:dyDescent="0.25">
      <c r="A102" s="14">
        <f t="shared" si="14"/>
        <v>92</v>
      </c>
      <c r="B102" s="14">
        <f t="shared" si="14"/>
        <v>132</v>
      </c>
      <c r="C102" s="38">
        <f t="shared" si="12"/>
        <v>6.1832357046081841</v>
      </c>
      <c r="D102" s="17">
        <f t="shared" si="16"/>
        <v>0</v>
      </c>
      <c r="E102" s="17">
        <f t="shared" si="16"/>
        <v>0</v>
      </c>
      <c r="F102" s="17">
        <f t="shared" si="16"/>
        <v>0</v>
      </c>
      <c r="G102" s="17">
        <f t="shared" si="16"/>
        <v>154580.89261520459</v>
      </c>
      <c r="H102" s="17">
        <f t="shared" si="16"/>
        <v>0</v>
      </c>
      <c r="I102" s="17">
        <f t="shared" si="16"/>
        <v>0</v>
      </c>
      <c r="J102" s="17">
        <f t="shared" si="16"/>
        <v>0</v>
      </c>
      <c r="K102" s="25"/>
      <c r="L102" s="17" t="str">
        <f ca="1">IF(Message&lt;&gt;"",Message,+Taxes!Q108)</f>
        <v>EXPIRED</v>
      </c>
      <c r="M102" s="17" t="str">
        <f ca="1">IF(Message&lt;&gt;"","--",+SUM(D102:J102)+Investments!P103)</f>
        <v>--</v>
      </c>
      <c r="N102" s="17" t="str">
        <f ca="1">IF(Message&lt;&gt;"",Message,+Taxes!AA108)</f>
        <v>EXPIRED</v>
      </c>
      <c r="O102" s="17" t="str">
        <f t="shared" ca="1" si="15"/>
        <v>--</v>
      </c>
      <c r="P102" s="38" t="str">
        <f ca="1">IF(Message&lt;&gt;"",Message,IF(M102&lt;0,"NA",+IFERROR(IF(N102/(M102-Taxes!N108)&lt;0,"NA",N102/(M102-Taxes!N108)),"NA")))</f>
        <v>EXPIRED</v>
      </c>
      <c r="Q102" s="25"/>
    </row>
    <row r="103" spans="1:17" x14ac:dyDescent="0.25">
      <c r="A103" s="14">
        <f t="shared" si="14"/>
        <v>93</v>
      </c>
      <c r="B103" s="14">
        <f t="shared" si="14"/>
        <v>133</v>
      </c>
      <c r="C103" s="38">
        <f t="shared" si="12"/>
        <v>6.306900418700347</v>
      </c>
      <c r="D103" s="17">
        <f t="shared" si="16"/>
        <v>0</v>
      </c>
      <c r="E103" s="17">
        <f t="shared" si="16"/>
        <v>0</v>
      </c>
      <c r="F103" s="17">
        <f t="shared" si="16"/>
        <v>0</v>
      </c>
      <c r="G103" s="17">
        <f t="shared" si="16"/>
        <v>157672.51046750866</v>
      </c>
      <c r="H103" s="17">
        <f t="shared" si="16"/>
        <v>0</v>
      </c>
      <c r="I103" s="17">
        <f t="shared" si="16"/>
        <v>0</v>
      </c>
      <c r="J103" s="17">
        <f t="shared" si="16"/>
        <v>0</v>
      </c>
      <c r="K103" s="25"/>
      <c r="L103" s="17" t="str">
        <f ca="1">IF(Message&lt;&gt;"",Message,+Taxes!Q109)</f>
        <v>EXPIRED</v>
      </c>
      <c r="M103" s="17" t="str">
        <f ca="1">IF(Message&lt;&gt;"","--",+SUM(D103:J103)+Investments!P104)</f>
        <v>--</v>
      </c>
      <c r="N103" s="17" t="str">
        <f ca="1">IF(Message&lt;&gt;"",Message,+Taxes!AA109)</f>
        <v>EXPIRED</v>
      </c>
      <c r="O103" s="17" t="str">
        <f t="shared" ca="1" si="15"/>
        <v>--</v>
      </c>
      <c r="P103" s="38" t="str">
        <f ca="1">IF(Message&lt;&gt;"",Message,IF(M103&lt;0,"NA",+IFERROR(IF(N103/(M103-Taxes!N109)&lt;0,"NA",N103/(M103-Taxes!N109)),"NA")))</f>
        <v>EXPIRED</v>
      </c>
      <c r="Q103" s="25"/>
    </row>
    <row r="104" spans="1:17" x14ac:dyDescent="0.25">
      <c r="A104" s="14">
        <f t="shared" si="14"/>
        <v>94</v>
      </c>
      <c r="B104" s="14">
        <f t="shared" si="14"/>
        <v>134</v>
      </c>
      <c r="C104" s="38">
        <f t="shared" si="12"/>
        <v>6.4330384270743544</v>
      </c>
      <c r="D104" s="17">
        <f t="shared" si="16"/>
        <v>0</v>
      </c>
      <c r="E104" s="17">
        <f t="shared" si="16"/>
        <v>0</v>
      </c>
      <c r="F104" s="17">
        <f t="shared" si="16"/>
        <v>0</v>
      </c>
      <c r="G104" s="17">
        <f t="shared" si="16"/>
        <v>160825.96067685887</v>
      </c>
      <c r="H104" s="17">
        <f t="shared" si="16"/>
        <v>0</v>
      </c>
      <c r="I104" s="17">
        <f t="shared" si="16"/>
        <v>0</v>
      </c>
      <c r="J104" s="17">
        <f t="shared" si="16"/>
        <v>0</v>
      </c>
      <c r="K104" s="26"/>
      <c r="L104" s="17" t="str">
        <f ca="1">IF(Message&lt;&gt;"",Message,+Taxes!Q110)</f>
        <v>EXPIRED</v>
      </c>
      <c r="M104" s="17" t="str">
        <f ca="1">IF(Message&lt;&gt;"","--",+SUM(D104:J104)+Investments!P105)</f>
        <v>--</v>
      </c>
      <c r="N104" s="17" t="str">
        <f ca="1">IF(Message&lt;&gt;"",Message,+Taxes!AA110)</f>
        <v>EXPIRED</v>
      </c>
      <c r="O104" s="17" t="str">
        <f t="shared" ca="1" si="15"/>
        <v>--</v>
      </c>
      <c r="P104" s="38" t="str">
        <f ca="1">IF(Message&lt;&gt;"",Message,IF(M104&lt;0,"NA",+IFERROR(IF(N104/(M104-Taxes!N110)&lt;0,"NA",N104/(M104-Taxes!N110)),"NA")))</f>
        <v>EXPIRED</v>
      </c>
      <c r="Q104" s="26"/>
    </row>
    <row r="105" spans="1:17" x14ac:dyDescent="0.25">
      <c r="A105" s="14">
        <f t="shared" si="14"/>
        <v>95</v>
      </c>
      <c r="B105" s="14">
        <f t="shared" si="14"/>
        <v>135</v>
      </c>
      <c r="C105" s="38">
        <f t="shared" si="12"/>
        <v>6.5616991956158399</v>
      </c>
      <c r="D105" s="17">
        <f t="shared" si="16"/>
        <v>0</v>
      </c>
      <c r="E105" s="17">
        <f t="shared" si="16"/>
        <v>0</v>
      </c>
      <c r="F105" s="17">
        <f t="shared" si="16"/>
        <v>0</v>
      </c>
      <c r="G105" s="17">
        <f t="shared" si="16"/>
        <v>164042.479890396</v>
      </c>
      <c r="H105" s="17">
        <f t="shared" si="16"/>
        <v>0</v>
      </c>
      <c r="I105" s="17">
        <f t="shared" si="16"/>
        <v>0</v>
      </c>
      <c r="J105" s="17">
        <f t="shared" si="16"/>
        <v>0</v>
      </c>
      <c r="K105" s="26"/>
      <c r="L105" s="17" t="str">
        <f ca="1">IF(Message&lt;&gt;"",Message,+Taxes!Q111)</f>
        <v>EXPIRED</v>
      </c>
      <c r="M105" s="17" t="str">
        <f ca="1">IF(Message&lt;&gt;"","--",+SUM(D105:J105)+Investments!P106)</f>
        <v>--</v>
      </c>
      <c r="N105" s="17" t="str">
        <f ca="1">IF(Message&lt;&gt;"",Message,+Taxes!AA111)</f>
        <v>EXPIRED</v>
      </c>
      <c r="O105" s="17" t="str">
        <f t="shared" ca="1" si="15"/>
        <v>--</v>
      </c>
      <c r="P105" s="38" t="str">
        <f ca="1">IF(Message&lt;&gt;"",Message,IF(M105&lt;0,"NA",+IFERROR(IF(N105/(M105-Taxes!N111)&lt;0,"NA",N105/(M105-Taxes!N111)),"NA")))</f>
        <v>EXPIRED</v>
      </c>
      <c r="Q105" s="26"/>
    </row>
    <row r="106" spans="1:17" x14ac:dyDescent="0.25">
      <c r="A106" s="14">
        <f t="shared" si="14"/>
        <v>96</v>
      </c>
      <c r="B106" s="14">
        <f t="shared" si="14"/>
        <v>136</v>
      </c>
      <c r="C106" s="38">
        <f t="shared" si="12"/>
        <v>6.6929331795281577</v>
      </c>
      <c r="D106" s="17">
        <f t="shared" si="16"/>
        <v>0</v>
      </c>
      <c r="E106" s="17">
        <f t="shared" si="16"/>
        <v>0</v>
      </c>
      <c r="F106" s="17">
        <f t="shared" si="16"/>
        <v>0</v>
      </c>
      <c r="G106" s="17">
        <f t="shared" si="16"/>
        <v>167323.32948820395</v>
      </c>
      <c r="H106" s="17">
        <f t="shared" si="16"/>
        <v>0</v>
      </c>
      <c r="I106" s="17">
        <f t="shared" si="16"/>
        <v>0</v>
      </c>
      <c r="J106" s="17">
        <f t="shared" si="16"/>
        <v>0</v>
      </c>
      <c r="K106" s="26"/>
      <c r="L106" s="17" t="str">
        <f ca="1">IF(Message&lt;&gt;"",Message,+Taxes!Q112)</f>
        <v>EXPIRED</v>
      </c>
      <c r="M106" s="17" t="str">
        <f ca="1">IF(Message&lt;&gt;"","--",+SUM(D106:J106)+Investments!P107)</f>
        <v>--</v>
      </c>
      <c r="N106" s="17" t="str">
        <f ca="1">IF(Message&lt;&gt;"",Message,+Taxes!AA112)</f>
        <v>EXPIRED</v>
      </c>
      <c r="O106" s="17" t="str">
        <f t="shared" ca="1" si="15"/>
        <v>--</v>
      </c>
      <c r="P106" s="38" t="str">
        <f ca="1">IF(Message&lt;&gt;"",Message,IF(M106&lt;0,"NA",+IFERROR(IF(N106/(M106-Taxes!N112)&lt;0,"NA",N106/(M106-Taxes!N112)),"NA")))</f>
        <v>EXPIRED</v>
      </c>
      <c r="Q106" s="26"/>
    </row>
    <row r="107" spans="1:17" x14ac:dyDescent="0.25">
      <c r="A107" s="14">
        <f t="shared" si="14"/>
        <v>97</v>
      </c>
      <c r="B107" s="14">
        <f t="shared" si="14"/>
        <v>137</v>
      </c>
      <c r="C107" s="38">
        <f t="shared" si="12"/>
        <v>6.8267918431187216</v>
      </c>
      <c r="D107" s="17">
        <f t="shared" ref="D107:J110" si="17">IF(OR($B107&gt;D$7,$B107&lt;D$6),0,IF(D$4,MIN(D$4,D$2*(1+D$3)^$A107),D$2*(1+D$3)^$A107))*$C107</f>
        <v>0</v>
      </c>
      <c r="E107" s="17">
        <f t="shared" si="17"/>
        <v>0</v>
      </c>
      <c r="F107" s="17">
        <f t="shared" si="17"/>
        <v>0</v>
      </c>
      <c r="G107" s="17">
        <f t="shared" si="17"/>
        <v>170669.79607796803</v>
      </c>
      <c r="H107" s="17">
        <f t="shared" si="17"/>
        <v>0</v>
      </c>
      <c r="I107" s="17">
        <f t="shared" si="17"/>
        <v>0</v>
      </c>
      <c r="J107" s="17">
        <f t="shared" si="17"/>
        <v>0</v>
      </c>
      <c r="K107" s="26"/>
      <c r="L107" s="17" t="str">
        <f ca="1">IF(Message&lt;&gt;"",Message,+Taxes!Q113)</f>
        <v>EXPIRED</v>
      </c>
      <c r="M107" s="17" t="str">
        <f ca="1">IF(Message&lt;&gt;"","--",+SUM(D107:J107)+Investments!P108)</f>
        <v>--</v>
      </c>
      <c r="N107" s="17" t="str">
        <f ca="1">IF(Message&lt;&gt;"",Message,+Taxes!AA113)</f>
        <v>EXPIRED</v>
      </c>
      <c r="O107" s="17" t="str">
        <f t="shared" ca="1" si="15"/>
        <v>--</v>
      </c>
      <c r="P107" s="38" t="str">
        <f ca="1">IF(Message&lt;&gt;"",Message,IF(M107&lt;0,"NA",+IFERROR(IF(N107/(M107-Taxes!N113)&lt;0,"NA",N107/(M107-Taxes!N113)),"NA")))</f>
        <v>EXPIRED</v>
      </c>
      <c r="Q107" s="26"/>
    </row>
    <row r="108" spans="1:17" x14ac:dyDescent="0.25">
      <c r="A108" s="14">
        <f t="shared" si="14"/>
        <v>98</v>
      </c>
      <c r="B108" s="14">
        <f t="shared" si="14"/>
        <v>138</v>
      </c>
      <c r="C108" s="38">
        <f t="shared" si="12"/>
        <v>6.963327679981095</v>
      </c>
      <c r="D108" s="17">
        <f t="shared" si="17"/>
        <v>0</v>
      </c>
      <c r="E108" s="17">
        <f t="shared" si="17"/>
        <v>0</v>
      </c>
      <c r="F108" s="17">
        <f t="shared" si="17"/>
        <v>0</v>
      </c>
      <c r="G108" s="17">
        <f t="shared" si="17"/>
        <v>174083.19199952736</v>
      </c>
      <c r="H108" s="17">
        <f t="shared" si="17"/>
        <v>0</v>
      </c>
      <c r="I108" s="17">
        <f t="shared" si="17"/>
        <v>0</v>
      </c>
      <c r="J108" s="17">
        <f t="shared" si="17"/>
        <v>0</v>
      </c>
      <c r="K108" s="26"/>
      <c r="L108" s="17" t="str">
        <f ca="1">IF(Message&lt;&gt;"",Message,+Taxes!Q114)</f>
        <v>EXPIRED</v>
      </c>
      <c r="M108" s="17" t="str">
        <f ca="1">IF(Message&lt;&gt;"","--",+SUM(D108:J108)+Investments!P109)</f>
        <v>--</v>
      </c>
      <c r="N108" s="17" t="str">
        <f ca="1">IF(Message&lt;&gt;"",Message,+Taxes!AA114)</f>
        <v>EXPIRED</v>
      </c>
      <c r="O108" s="17" t="str">
        <f t="shared" ca="1" si="15"/>
        <v>--</v>
      </c>
      <c r="P108" s="38" t="str">
        <f ca="1">IF(Message&lt;&gt;"",Message,IF(M108&lt;0,"NA",+IFERROR(IF(N108/(M108-Taxes!N114)&lt;0,"NA",N108/(M108-Taxes!N114)),"NA")))</f>
        <v>EXPIRED</v>
      </c>
      <c r="Q108" s="26"/>
    </row>
    <row r="109" spans="1:17" x14ac:dyDescent="0.25">
      <c r="A109" s="14">
        <f t="shared" si="14"/>
        <v>99</v>
      </c>
      <c r="B109" s="14">
        <f t="shared" si="14"/>
        <v>139</v>
      </c>
      <c r="C109" s="38">
        <f t="shared" si="12"/>
        <v>7.1025942335807173</v>
      </c>
      <c r="D109" s="17">
        <f t="shared" si="17"/>
        <v>0</v>
      </c>
      <c r="E109" s="17">
        <f t="shared" si="17"/>
        <v>0</v>
      </c>
      <c r="F109" s="17">
        <f t="shared" si="17"/>
        <v>0</v>
      </c>
      <c r="G109" s="17">
        <f t="shared" si="17"/>
        <v>177564.85583951793</v>
      </c>
      <c r="H109" s="17">
        <f t="shared" si="17"/>
        <v>0</v>
      </c>
      <c r="I109" s="17">
        <f t="shared" si="17"/>
        <v>0</v>
      </c>
      <c r="J109" s="17">
        <f t="shared" si="17"/>
        <v>0</v>
      </c>
      <c r="K109" s="26"/>
      <c r="L109" s="17" t="str">
        <f ca="1">IF(Message&lt;&gt;"",Message,+Taxes!Q115)</f>
        <v>EXPIRED</v>
      </c>
      <c r="M109" s="17" t="str">
        <f ca="1">IF(Message&lt;&gt;"","--",+SUM(D109:J109)+Investments!P110)</f>
        <v>--</v>
      </c>
      <c r="N109" s="17" t="str">
        <f ca="1">IF(Message&lt;&gt;"",Message,+Taxes!AA115)</f>
        <v>EXPIRED</v>
      </c>
      <c r="O109" s="17" t="str">
        <f t="shared" ca="1" si="15"/>
        <v>--</v>
      </c>
      <c r="P109" s="38" t="str">
        <f ca="1">IF(Message&lt;&gt;"",Message,IF(M109&lt;0,"NA",+IFERROR(IF(N109/(M109-Taxes!N115)&lt;0,"NA",N109/(M109-Taxes!N115)),"NA")))</f>
        <v>EXPIRED</v>
      </c>
      <c r="Q109" s="26"/>
    </row>
    <row r="110" spans="1:17" x14ac:dyDescent="0.25">
      <c r="A110" s="15">
        <f t="shared" si="14"/>
        <v>100</v>
      </c>
      <c r="B110" s="15">
        <f t="shared" si="14"/>
        <v>140</v>
      </c>
      <c r="C110" s="38">
        <f t="shared" si="12"/>
        <v>7.244646118252331</v>
      </c>
      <c r="D110" s="17">
        <f t="shared" si="17"/>
        <v>0</v>
      </c>
      <c r="E110" s="17">
        <f t="shared" si="17"/>
        <v>0</v>
      </c>
      <c r="F110" s="17">
        <f t="shared" si="17"/>
        <v>0</v>
      </c>
      <c r="G110" s="17">
        <f t="shared" si="17"/>
        <v>181116.15295630827</v>
      </c>
      <c r="H110" s="17">
        <f t="shared" si="17"/>
        <v>0</v>
      </c>
      <c r="I110" s="17">
        <f t="shared" si="17"/>
        <v>0</v>
      </c>
      <c r="J110" s="17">
        <f t="shared" si="17"/>
        <v>0</v>
      </c>
      <c r="K110" s="26"/>
      <c r="L110" s="17" t="str">
        <f ca="1">IF(Message&lt;&gt;"",Message,+Taxes!Q116)</f>
        <v>EXPIRED</v>
      </c>
      <c r="M110" s="17" t="str">
        <f ca="1">IF(Message&lt;&gt;"","--",+SUM(D110:J110)+Investments!P111)</f>
        <v>--</v>
      </c>
      <c r="N110" s="17" t="str">
        <f ca="1">IF(Message&lt;&gt;"",Message,+Taxes!AA116)</f>
        <v>EXPIRED</v>
      </c>
      <c r="O110" s="17" t="str">
        <f t="shared" ca="1" si="15"/>
        <v>--</v>
      </c>
      <c r="P110" s="38" t="str">
        <f ca="1">IF(Message&lt;&gt;"",Message,IF(M110&lt;0,"NA",+IFERROR(IF(N110/(M110-Taxes!N116)&lt;0,"NA",N110/(M110-Taxes!N116)),"NA")))</f>
        <v>EXPIRED</v>
      </c>
      <c r="Q110" s="26"/>
    </row>
  </sheetData>
  <conditionalFormatting sqref="L16:O110">
    <cfRule type="expression" dxfId="1" priority="1">
      <formula>expiredLicense=TRUE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Y159"/>
  <sheetViews>
    <sheetView workbookViewId="0"/>
  </sheetViews>
  <sheetFormatPr defaultRowHeight="15" x14ac:dyDescent="0.25"/>
  <cols>
    <col min="1" max="1" width="25.140625" bestFit="1" customWidth="1"/>
    <col min="2" max="3" width="9.85546875" customWidth="1"/>
    <col min="4" max="4" width="1.5703125" customWidth="1"/>
    <col min="5" max="8" width="13.7109375" customWidth="1"/>
    <col min="9" max="9" width="13.28515625" style="6" customWidth="1"/>
    <col min="10" max="10" width="13.5703125" style="6" customWidth="1"/>
    <col min="11" max="12" width="13.28515625" style="6" customWidth="1"/>
    <col min="13" max="13" width="1.5703125" customWidth="1"/>
    <col min="14" max="15" width="13.28515625" style="6" customWidth="1"/>
    <col min="16" max="16" width="1.5703125" customWidth="1"/>
    <col min="17" max="17" width="14.5703125" style="6" customWidth="1"/>
    <col min="18" max="18" width="8.85546875" style="6"/>
    <col min="19" max="19" width="11.28515625" style="6" customWidth="1"/>
    <col min="20" max="20" width="11.7109375" style="6" customWidth="1"/>
    <col min="21" max="21" width="15.42578125" style="6" customWidth="1"/>
    <col min="22" max="22" width="12.28515625" style="6" bestFit="1" customWidth="1"/>
    <col min="23" max="23" width="8.85546875" style="6"/>
    <col min="24" max="24" width="16.42578125" style="137" customWidth="1"/>
    <col min="25" max="25" width="8.85546875" style="6"/>
    <col min="26" max="26" width="1.5703125" customWidth="1"/>
    <col min="27" max="27" width="16.5703125" style="6" customWidth="1"/>
    <col min="28" max="28" width="1.5703125" customWidth="1"/>
    <col min="29" max="29" width="15" bestFit="1" customWidth="1"/>
    <col min="30" max="31" width="9" bestFit="1" customWidth="1"/>
    <col min="32" max="35" width="10.28515625" bestFit="1" customWidth="1"/>
    <col min="36" max="36" width="16" bestFit="1" customWidth="1"/>
    <col min="37" max="37" width="13.5703125" bestFit="1" customWidth="1"/>
    <col min="38" max="38" width="13.42578125" bestFit="1" customWidth="1"/>
    <col min="39" max="39" width="1.5703125" customWidth="1"/>
    <col min="40" max="40" width="14.85546875" bestFit="1" customWidth="1"/>
    <col min="41" max="41" width="11.42578125" customWidth="1"/>
    <col min="42" max="42" width="1.5703125" customWidth="1"/>
    <col min="43" max="43" width="17.140625" customWidth="1"/>
    <col min="45" max="48" width="10.140625" bestFit="1" customWidth="1"/>
    <col min="49" max="49" width="11.7109375" bestFit="1" customWidth="1"/>
    <col min="50" max="51" width="13.42578125" bestFit="1" customWidth="1"/>
    <col min="52" max="52" width="12" bestFit="1" customWidth="1"/>
    <col min="53" max="53" width="1.5703125" customWidth="1"/>
    <col min="54" max="54" width="13.5703125" customWidth="1"/>
    <col min="56" max="56" width="12.140625" customWidth="1"/>
    <col min="57" max="62" width="13.42578125" bestFit="1" customWidth="1"/>
    <col min="63" max="63" width="12.140625" customWidth="1"/>
    <col min="64" max="64" width="1.5703125" customWidth="1"/>
    <col min="67" max="67" width="16.42578125" bestFit="1" customWidth="1"/>
  </cols>
  <sheetData>
    <row r="1" spans="1:77" ht="28.5" x14ac:dyDescent="0.45">
      <c r="A1" s="11" t="s">
        <v>133</v>
      </c>
      <c r="I1" s="139"/>
      <c r="X1" s="135"/>
    </row>
    <row r="2" spans="1:77" x14ac:dyDescent="0.25">
      <c r="C2" s="87"/>
      <c r="I2" s="140"/>
      <c r="Q2" s="79" t="s">
        <v>141</v>
      </c>
      <c r="R2" s="131"/>
      <c r="S2" s="128" t="s">
        <v>207</v>
      </c>
      <c r="T2" s="129" t="s">
        <v>142</v>
      </c>
      <c r="U2" s="131"/>
      <c r="V2" s="133" t="s">
        <v>207</v>
      </c>
      <c r="W2" s="136" t="s">
        <v>143</v>
      </c>
      <c r="X2" s="131"/>
      <c r="Y2" s="128" t="s">
        <v>207</v>
      </c>
    </row>
    <row r="3" spans="1:77" x14ac:dyDescent="0.25">
      <c r="C3" s="87"/>
      <c r="I3" s="139"/>
      <c r="Q3" s="167">
        <v>0</v>
      </c>
      <c r="R3" s="168">
        <v>0.1</v>
      </c>
      <c r="S3" s="127">
        <v>0</v>
      </c>
      <c r="T3" s="171">
        <v>0</v>
      </c>
      <c r="U3" s="168">
        <v>0.03</v>
      </c>
      <c r="V3" s="130">
        <v>0</v>
      </c>
      <c r="W3" s="173">
        <v>0</v>
      </c>
      <c r="X3" s="168">
        <v>0.15</v>
      </c>
      <c r="Y3" s="127">
        <v>0</v>
      </c>
    </row>
    <row r="4" spans="1:77" x14ac:dyDescent="0.25">
      <c r="C4" s="87"/>
      <c r="I4" s="139"/>
      <c r="Q4" s="167">
        <v>19400</v>
      </c>
      <c r="R4" s="168">
        <v>0.12</v>
      </c>
      <c r="S4" s="127">
        <f>+S3+(Q4-Q3)*R3</f>
        <v>1940</v>
      </c>
      <c r="T4" s="171">
        <v>20000</v>
      </c>
      <c r="U4" s="168">
        <v>0.05</v>
      </c>
      <c r="V4" s="130">
        <f>+V3+(T4-T3)*U3</f>
        <v>600</v>
      </c>
      <c r="W4" s="173">
        <v>78750</v>
      </c>
      <c r="X4" s="168">
        <v>0.15</v>
      </c>
      <c r="Y4" s="127">
        <f t="shared" ref="Y4:Y11" si="0">+Y3+(W4-W3)*X3</f>
        <v>11812.5</v>
      </c>
    </row>
    <row r="5" spans="1:77" x14ac:dyDescent="0.25">
      <c r="C5" s="27"/>
      <c r="I5" s="139"/>
      <c r="Q5" s="167">
        <v>78950</v>
      </c>
      <c r="R5" s="168">
        <v>0.22</v>
      </c>
      <c r="S5" s="127">
        <f t="shared" ref="S5:S11" si="1">+S4+(Q5-Q4)*R4</f>
        <v>9086</v>
      </c>
      <c r="T5" s="171">
        <v>100000</v>
      </c>
      <c r="U5" s="168">
        <v>5.5E-2</v>
      </c>
      <c r="V5" s="130">
        <f t="shared" ref="V5:V11" si="2">+V4+(T5-T4)*U4</f>
        <v>4600</v>
      </c>
      <c r="W5" s="173">
        <v>488850</v>
      </c>
      <c r="X5" s="168">
        <v>0.2</v>
      </c>
      <c r="Y5" s="127">
        <f t="shared" si="0"/>
        <v>73327.5</v>
      </c>
    </row>
    <row r="6" spans="1:77" x14ac:dyDescent="0.25">
      <c r="Q6" s="167">
        <v>168400</v>
      </c>
      <c r="R6" s="168">
        <v>0.24</v>
      </c>
      <c r="S6" s="127">
        <f t="shared" si="1"/>
        <v>28765</v>
      </c>
      <c r="T6" s="171">
        <v>200000</v>
      </c>
      <c r="U6" s="168">
        <v>0.06</v>
      </c>
      <c r="V6" s="130">
        <f t="shared" si="2"/>
        <v>10100</v>
      </c>
      <c r="W6" s="173">
        <v>99999999990</v>
      </c>
      <c r="X6" s="168">
        <v>0.2</v>
      </c>
      <c r="Y6" s="127">
        <f t="shared" si="0"/>
        <v>19999975555.5</v>
      </c>
    </row>
    <row r="7" spans="1:77" x14ac:dyDescent="0.25">
      <c r="D7" s="24"/>
      <c r="M7" s="24"/>
      <c r="P7" s="24"/>
      <c r="Q7" s="167">
        <v>321450</v>
      </c>
      <c r="R7" s="168">
        <v>0.32</v>
      </c>
      <c r="S7" s="127">
        <f t="shared" si="1"/>
        <v>65497</v>
      </c>
      <c r="T7" s="171">
        <v>400000</v>
      </c>
      <c r="U7" s="168">
        <v>6.5000000000000002E-2</v>
      </c>
      <c r="V7" s="130">
        <f t="shared" si="2"/>
        <v>22100</v>
      </c>
      <c r="W7" s="173">
        <f>+W6+1</f>
        <v>99999999991</v>
      </c>
      <c r="X7" s="168">
        <v>0.2</v>
      </c>
      <c r="Y7" s="127">
        <f t="shared" si="0"/>
        <v>19999975555.700001</v>
      </c>
      <c r="Z7" s="24"/>
      <c r="AB7" s="24"/>
      <c r="AC7" s="6"/>
      <c r="AD7" s="6"/>
      <c r="AE7" s="6"/>
      <c r="AF7" s="6"/>
      <c r="AG7" s="6"/>
      <c r="AH7" s="6"/>
      <c r="AI7" s="6"/>
      <c r="AJ7" s="6"/>
      <c r="AK7" s="6"/>
      <c r="AL7" s="6"/>
      <c r="AM7" s="24"/>
      <c r="AO7" s="6"/>
      <c r="AP7" s="24"/>
      <c r="AQ7" s="6"/>
      <c r="AR7" s="6"/>
      <c r="AS7" s="6"/>
      <c r="AT7" s="6"/>
      <c r="AU7" s="6"/>
      <c r="AV7" s="6"/>
      <c r="AW7" s="6"/>
      <c r="AX7" s="6"/>
      <c r="AY7" s="6"/>
      <c r="AZ7" s="6"/>
      <c r="BA7" s="24"/>
      <c r="BB7" s="6"/>
      <c r="BC7" s="6"/>
      <c r="BD7" s="6"/>
      <c r="BE7" s="6"/>
      <c r="BF7" s="6"/>
      <c r="BG7" s="6"/>
      <c r="BH7" s="6"/>
      <c r="BI7" s="6"/>
      <c r="BJ7" s="6"/>
      <c r="BK7" s="6"/>
      <c r="BL7" s="24"/>
      <c r="BM7" s="6"/>
      <c r="BN7" s="6"/>
      <c r="BO7" s="6"/>
      <c r="BP7" s="6"/>
      <c r="BQ7" s="6"/>
      <c r="BR7" s="6"/>
      <c r="BS7" s="6"/>
      <c r="BT7" s="6"/>
    </row>
    <row r="8" spans="1:77" x14ac:dyDescent="0.25">
      <c r="A8" s="80" t="s">
        <v>134</v>
      </c>
      <c r="B8" s="147"/>
      <c r="C8" s="6"/>
      <c r="D8" s="24"/>
      <c r="M8" s="24"/>
      <c r="P8" s="24"/>
      <c r="Q8" s="167">
        <v>408200</v>
      </c>
      <c r="R8" s="168">
        <v>0.35</v>
      </c>
      <c r="S8" s="127">
        <f t="shared" si="1"/>
        <v>93257</v>
      </c>
      <c r="T8" s="171">
        <v>500000</v>
      </c>
      <c r="U8" s="168">
        <v>6.9000000000000006E-2</v>
      </c>
      <c r="V8" s="130">
        <f t="shared" si="2"/>
        <v>28600</v>
      </c>
      <c r="W8" s="173">
        <f>+W7+1</f>
        <v>99999999992</v>
      </c>
      <c r="X8" s="168">
        <v>0.2</v>
      </c>
      <c r="Y8" s="127">
        <f t="shared" si="0"/>
        <v>19999975555.900002</v>
      </c>
      <c r="Z8" s="24"/>
      <c r="AB8" s="24"/>
      <c r="AC8">
        <v>0</v>
      </c>
      <c r="AD8" s="2">
        <f>+(AD11-AC11)*AC10</f>
        <v>1940</v>
      </c>
      <c r="AE8" s="2">
        <f>+(AE11-AD11)*AD10+AD8</f>
        <v>9086</v>
      </c>
      <c r="AF8" s="2">
        <f t="shared" ref="AF8:AL8" si="3">+(AF11-AE11)*AE10+AE8</f>
        <v>28765</v>
      </c>
      <c r="AG8" s="2">
        <f t="shared" si="3"/>
        <v>65497</v>
      </c>
      <c r="AH8" s="2">
        <f t="shared" si="3"/>
        <v>93257</v>
      </c>
      <c r="AI8" s="2">
        <f t="shared" si="3"/>
        <v>164709.5</v>
      </c>
      <c r="AJ8" s="2">
        <f t="shared" si="3"/>
        <v>36999938139.260002</v>
      </c>
      <c r="AK8" s="2">
        <f t="shared" si="3"/>
        <v>36999938139.630005</v>
      </c>
      <c r="AL8" s="2">
        <f t="shared" si="3"/>
        <v>36999938139.630005</v>
      </c>
      <c r="AM8" s="24"/>
      <c r="AO8" s="6"/>
      <c r="AP8" s="24"/>
      <c r="AQ8" s="6"/>
      <c r="AR8" s="6"/>
      <c r="AS8" s="6"/>
      <c r="AT8" s="6"/>
      <c r="AU8" s="6"/>
      <c r="AV8" s="6"/>
      <c r="AW8" s="6"/>
      <c r="AX8" s="6"/>
      <c r="AY8" s="6"/>
      <c r="AZ8" s="6"/>
      <c r="BA8" s="24"/>
      <c r="BB8" s="6"/>
      <c r="BC8" s="6"/>
      <c r="BD8" s="6"/>
      <c r="BE8" s="6"/>
      <c r="BF8" s="6"/>
      <c r="BG8" s="6"/>
      <c r="BH8" s="6"/>
      <c r="BI8" s="6"/>
      <c r="BJ8" s="6"/>
      <c r="BK8" s="6"/>
      <c r="BL8" s="24"/>
      <c r="BM8" s="6"/>
      <c r="BN8" s="6"/>
      <c r="BO8" s="6"/>
      <c r="BP8" s="6"/>
      <c r="BQ8" s="6"/>
      <c r="BR8" s="6"/>
      <c r="BS8" s="6"/>
      <c r="BT8" s="6"/>
    </row>
    <row r="9" spans="1:77" x14ac:dyDescent="0.25">
      <c r="A9" s="81" t="s">
        <v>135</v>
      </c>
      <c r="B9" s="175">
        <v>24000</v>
      </c>
      <c r="D9" s="25"/>
      <c r="M9" s="25"/>
      <c r="P9" s="25"/>
      <c r="Q9" s="167">
        <v>612350</v>
      </c>
      <c r="R9" s="168">
        <v>0.37</v>
      </c>
      <c r="S9" s="127">
        <f t="shared" si="1"/>
        <v>164709.5</v>
      </c>
      <c r="T9" s="171">
        <v>1000000</v>
      </c>
      <c r="U9" s="168">
        <v>6.9900000000000004E-2</v>
      </c>
      <c r="V9" s="130">
        <f t="shared" si="2"/>
        <v>63100</v>
      </c>
      <c r="W9" s="173">
        <f>+W8+1</f>
        <v>99999999993</v>
      </c>
      <c r="X9" s="168">
        <v>0.2</v>
      </c>
      <c r="Y9" s="127">
        <f t="shared" si="0"/>
        <v>19999975556.100002</v>
      </c>
      <c r="Z9" s="25"/>
      <c r="AB9" s="25"/>
      <c r="AC9" s="6" t="s">
        <v>11</v>
      </c>
      <c r="AD9" s="6"/>
      <c r="AE9" s="6"/>
      <c r="AF9" s="6"/>
      <c r="AG9" s="6"/>
      <c r="AH9" s="6"/>
      <c r="AI9" s="6"/>
      <c r="AJ9" s="6"/>
      <c r="AK9" s="6"/>
      <c r="AL9" s="6"/>
      <c r="AM9" s="25"/>
      <c r="AN9" s="177"/>
      <c r="AO9" s="178">
        <v>1.4500000000000001E-2</v>
      </c>
      <c r="AP9" s="25"/>
      <c r="AQ9" s="6" t="s">
        <v>11</v>
      </c>
      <c r="AR9" s="6"/>
      <c r="AS9" s="6"/>
      <c r="AT9" s="6"/>
      <c r="AU9" s="6"/>
      <c r="AV9" s="6"/>
      <c r="AW9" s="6"/>
      <c r="AX9" s="6"/>
      <c r="AY9" s="6"/>
      <c r="AZ9" s="6"/>
      <c r="BA9" s="25"/>
      <c r="BB9" s="6" t="s">
        <v>11</v>
      </c>
      <c r="BC9" s="6"/>
      <c r="BD9" s="6"/>
      <c r="BE9" s="6"/>
      <c r="BF9" s="6"/>
      <c r="BG9" s="6"/>
      <c r="BH9" s="6"/>
      <c r="BI9" s="6"/>
      <c r="BJ9" s="6"/>
      <c r="BK9" s="6"/>
      <c r="BL9" s="25"/>
      <c r="BM9" s="6"/>
      <c r="BN9" s="6"/>
      <c r="BO9" s="6"/>
      <c r="BP9" s="6"/>
      <c r="BQ9" s="6"/>
      <c r="BR9" s="6"/>
      <c r="BS9" s="6"/>
      <c r="BT9" s="6"/>
    </row>
    <row r="10" spans="1:77" x14ac:dyDescent="0.25">
      <c r="A10" s="81" t="s">
        <v>136</v>
      </c>
      <c r="B10" s="175">
        <v>10000</v>
      </c>
      <c r="D10" s="25"/>
      <c r="M10" s="25"/>
      <c r="P10" s="25"/>
      <c r="Q10" s="167">
        <v>99999999998</v>
      </c>
      <c r="R10" s="168">
        <v>0.37</v>
      </c>
      <c r="S10" s="127">
        <f t="shared" si="1"/>
        <v>36999938139.260002</v>
      </c>
      <c r="T10" s="171">
        <v>99999999998</v>
      </c>
      <c r="U10" s="168">
        <v>7.0000000000000007E-2</v>
      </c>
      <c r="V10" s="130">
        <f t="shared" si="2"/>
        <v>6989993199.8601999</v>
      </c>
      <c r="W10" s="173">
        <f>+W9+1</f>
        <v>99999999994</v>
      </c>
      <c r="X10" s="168">
        <v>0.2</v>
      </c>
      <c r="Y10" s="127">
        <f t="shared" si="0"/>
        <v>19999975556.300003</v>
      </c>
      <c r="Z10" s="25"/>
      <c r="AB10" s="25"/>
      <c r="AC10" s="84">
        <f>+R3</f>
        <v>0.1</v>
      </c>
      <c r="AD10" s="84">
        <f>+R4</f>
        <v>0.12</v>
      </c>
      <c r="AE10" s="84">
        <f>+R5</f>
        <v>0.22</v>
      </c>
      <c r="AF10" s="84">
        <f>+R6</f>
        <v>0.24</v>
      </c>
      <c r="AG10" s="84">
        <f>+R7</f>
        <v>0.32</v>
      </c>
      <c r="AH10" s="84">
        <f>+R8</f>
        <v>0.35</v>
      </c>
      <c r="AI10" s="84">
        <f>+R9</f>
        <v>0.37</v>
      </c>
      <c r="AJ10" s="84">
        <f>+R10</f>
        <v>0.37</v>
      </c>
      <c r="AK10" s="84">
        <f>+R11</f>
        <v>0.37</v>
      </c>
      <c r="AL10" s="84">
        <f>+AK10</f>
        <v>0.37</v>
      </c>
      <c r="AM10" s="25"/>
      <c r="AN10" s="178">
        <v>6.2E-2</v>
      </c>
      <c r="AO10" s="178">
        <v>8.9999999999999993E-3</v>
      </c>
      <c r="AP10" s="25"/>
      <c r="AQ10" s="83">
        <f>+U3</f>
        <v>0.03</v>
      </c>
      <c r="AR10" s="83">
        <f>+U4</f>
        <v>0.05</v>
      </c>
      <c r="AS10" s="83">
        <f>+U5</f>
        <v>5.5E-2</v>
      </c>
      <c r="AT10" s="83">
        <f>+U6</f>
        <v>0.06</v>
      </c>
      <c r="AU10" s="83">
        <f>+U7</f>
        <v>6.5000000000000002E-2</v>
      </c>
      <c r="AV10" s="83">
        <f>+U8</f>
        <v>6.9000000000000006E-2</v>
      </c>
      <c r="AW10" s="83">
        <f>+U9</f>
        <v>6.9900000000000004E-2</v>
      </c>
      <c r="AX10" s="84">
        <f>+U10</f>
        <v>7.0000000000000007E-2</v>
      </c>
      <c r="AY10" s="84">
        <f>+U11</f>
        <v>7.0000000000000007E-2</v>
      </c>
      <c r="AZ10" s="84">
        <f>+AY10</f>
        <v>7.0000000000000007E-2</v>
      </c>
      <c r="BA10" s="25"/>
      <c r="BB10" s="83">
        <f>+X3</f>
        <v>0.15</v>
      </c>
      <c r="BC10" s="83">
        <f>+X4</f>
        <v>0.15</v>
      </c>
      <c r="BD10" s="83">
        <f>+X5</f>
        <v>0.2</v>
      </c>
      <c r="BE10" s="83">
        <f>+X6</f>
        <v>0.2</v>
      </c>
      <c r="BF10" s="83">
        <f>+X7</f>
        <v>0.2</v>
      </c>
      <c r="BG10" s="83">
        <f>+X8</f>
        <v>0.2</v>
      </c>
      <c r="BH10" s="83">
        <f>+X9</f>
        <v>0.2</v>
      </c>
      <c r="BI10" s="83">
        <f>+X10</f>
        <v>0.2</v>
      </c>
      <c r="BJ10" s="83">
        <f>+X11</f>
        <v>0.2</v>
      </c>
      <c r="BK10" s="83">
        <f>+BJ10</f>
        <v>0.2</v>
      </c>
      <c r="BL10" s="25"/>
      <c r="BM10" s="67"/>
      <c r="BN10" s="67"/>
      <c r="BO10" s="6"/>
      <c r="BP10" s="6"/>
      <c r="BQ10" s="6"/>
      <c r="BR10" s="6"/>
      <c r="BS10" s="6"/>
      <c r="BT10" s="6"/>
    </row>
    <row r="11" spans="1:77" x14ac:dyDescent="0.25">
      <c r="A11" s="81" t="s">
        <v>240</v>
      </c>
      <c r="B11" s="175">
        <v>500000</v>
      </c>
      <c r="D11" s="25"/>
      <c r="M11" s="25"/>
      <c r="P11" s="25"/>
      <c r="Q11" s="169">
        <v>99999999999</v>
      </c>
      <c r="R11" s="170">
        <v>0.37</v>
      </c>
      <c r="S11" s="132">
        <f t="shared" si="1"/>
        <v>36999938139.630005</v>
      </c>
      <c r="T11" s="172">
        <v>99999999999</v>
      </c>
      <c r="U11" s="170">
        <v>7.0000000000000007E-2</v>
      </c>
      <c r="V11" s="134">
        <f t="shared" si="2"/>
        <v>6989993199.9301996</v>
      </c>
      <c r="W11" s="174">
        <v>99999999999</v>
      </c>
      <c r="X11" s="170">
        <v>0.2</v>
      </c>
      <c r="Y11" s="132">
        <f t="shared" si="0"/>
        <v>19999975557.300003</v>
      </c>
      <c r="Z11" s="25"/>
      <c r="AB11" s="25"/>
      <c r="AC11" s="58">
        <f>+Q3</f>
        <v>0</v>
      </c>
      <c r="AD11" s="58">
        <f>+Q4</f>
        <v>19400</v>
      </c>
      <c r="AE11" s="58">
        <f>+Q5</f>
        <v>78950</v>
      </c>
      <c r="AF11" s="58">
        <f>+Q6</f>
        <v>168400</v>
      </c>
      <c r="AG11" s="58">
        <f>+Q7</f>
        <v>321450</v>
      </c>
      <c r="AH11" s="58">
        <f>+Q8</f>
        <v>408200</v>
      </c>
      <c r="AI11" s="58">
        <f>+Q9</f>
        <v>612350</v>
      </c>
      <c r="AJ11" s="68">
        <f>+Q10</f>
        <v>99999999998</v>
      </c>
      <c r="AK11" s="68">
        <f>+Q11</f>
        <v>99999999999</v>
      </c>
      <c r="AL11" s="68">
        <f>+Q11</f>
        <v>99999999999</v>
      </c>
      <c r="AM11" s="25"/>
      <c r="AN11" s="179">
        <v>132900</v>
      </c>
      <c r="AO11" s="179">
        <v>250000</v>
      </c>
      <c r="AP11" s="25"/>
      <c r="AQ11" s="58">
        <f>+T3</f>
        <v>0</v>
      </c>
      <c r="AR11" s="58">
        <f>+T4</f>
        <v>20000</v>
      </c>
      <c r="AS11" s="58">
        <f>+T5</f>
        <v>100000</v>
      </c>
      <c r="AT11" s="58">
        <f>+T6</f>
        <v>200000</v>
      </c>
      <c r="AU11" s="58">
        <f>+T7</f>
        <v>400000</v>
      </c>
      <c r="AV11" s="58">
        <f>+T8</f>
        <v>500000</v>
      </c>
      <c r="AW11" s="58">
        <f>+T9</f>
        <v>1000000</v>
      </c>
      <c r="AX11" s="68">
        <f>+T10</f>
        <v>99999999998</v>
      </c>
      <c r="AY11" s="68">
        <f>+T11</f>
        <v>99999999999</v>
      </c>
      <c r="AZ11" s="67">
        <v>99999999999</v>
      </c>
      <c r="BA11" s="25"/>
      <c r="BB11" s="58">
        <f>+W3</f>
        <v>0</v>
      </c>
      <c r="BC11" s="58">
        <f>+W4</f>
        <v>78750</v>
      </c>
      <c r="BD11" s="58">
        <f>+W5</f>
        <v>488850</v>
      </c>
      <c r="BE11" s="68">
        <f>+W6</f>
        <v>99999999990</v>
      </c>
      <c r="BF11" s="68">
        <f>+W7</f>
        <v>99999999991</v>
      </c>
      <c r="BG11" s="68">
        <f>+W8</f>
        <v>99999999992</v>
      </c>
      <c r="BH11" s="68">
        <f>+W9</f>
        <v>99999999993</v>
      </c>
      <c r="BI11" s="68">
        <f>+W10</f>
        <v>99999999994</v>
      </c>
      <c r="BJ11" s="68">
        <f>+W11</f>
        <v>99999999999</v>
      </c>
      <c r="BK11" s="67">
        <f>+BJ11+1</f>
        <v>100000000000</v>
      </c>
      <c r="BL11" s="25"/>
      <c r="BM11" s="67"/>
      <c r="BN11" s="67"/>
      <c r="BO11" s="6"/>
      <c r="BP11" s="6"/>
      <c r="BQ11" s="6"/>
      <c r="BR11" s="6"/>
      <c r="BS11" s="6"/>
      <c r="BT11" s="6"/>
    </row>
    <row r="12" spans="1:77" x14ac:dyDescent="0.25">
      <c r="A12" s="82" t="s">
        <v>137</v>
      </c>
      <c r="B12" s="176" t="b">
        <v>0</v>
      </c>
      <c r="D12" s="25"/>
      <c r="M12" s="25"/>
      <c r="P12" s="25"/>
      <c r="Z12" s="25"/>
      <c r="AB12" s="25"/>
      <c r="AC12" s="6"/>
      <c r="AD12" s="2"/>
      <c r="AE12" s="2"/>
      <c r="AF12" s="6"/>
      <c r="AG12" s="6"/>
      <c r="AH12" s="6"/>
      <c r="AI12" s="6"/>
      <c r="AJ12" s="6"/>
      <c r="AK12" s="6"/>
      <c r="AL12" s="6"/>
      <c r="AM12" s="25"/>
      <c r="AN12" s="6"/>
      <c r="AO12" s="6"/>
      <c r="AP12" s="25"/>
      <c r="AQ12" s="6"/>
      <c r="AR12" s="6"/>
      <c r="AS12" s="6"/>
      <c r="AT12" s="6"/>
      <c r="AU12" s="6"/>
      <c r="AV12" s="6"/>
      <c r="AW12" s="6"/>
      <c r="AX12" s="6"/>
      <c r="AY12" s="6"/>
      <c r="AZ12" s="6"/>
      <c r="BA12" s="25"/>
      <c r="BB12" s="6"/>
      <c r="BC12" s="6"/>
      <c r="BD12" s="6"/>
      <c r="BE12" s="6"/>
      <c r="BF12" s="6"/>
      <c r="BG12" s="6"/>
      <c r="BH12" s="6"/>
      <c r="BI12" s="6"/>
      <c r="BJ12" s="6"/>
      <c r="BK12" s="6"/>
      <c r="BL12" s="25"/>
      <c r="BM12" s="6"/>
      <c r="BN12" s="6"/>
      <c r="BO12" s="6"/>
      <c r="BP12" s="6"/>
      <c r="BQ12" s="6"/>
      <c r="BR12" s="6"/>
      <c r="BS12" s="6"/>
      <c r="BT12" s="6"/>
    </row>
    <row r="13" spans="1:77" ht="36" customHeight="1" x14ac:dyDescent="0.35">
      <c r="D13" s="25"/>
      <c r="E13" s="247" t="s">
        <v>138</v>
      </c>
      <c r="F13" s="247"/>
      <c r="G13" s="247"/>
      <c r="H13" s="247"/>
      <c r="I13" s="247"/>
      <c r="J13" s="247"/>
      <c r="K13" s="247"/>
      <c r="L13" s="247"/>
      <c r="M13" s="25"/>
      <c r="N13" s="85" t="s">
        <v>144</v>
      </c>
      <c r="O13" s="85" t="s">
        <v>144</v>
      </c>
      <c r="P13" s="25"/>
      <c r="Q13" s="248"/>
      <c r="R13" s="248"/>
      <c r="S13" s="248"/>
      <c r="T13" s="248"/>
      <c r="U13" s="248"/>
      <c r="V13" s="248"/>
      <c r="W13" s="248"/>
      <c r="Z13" s="25"/>
      <c r="AA13" s="96" t="s">
        <v>156</v>
      </c>
      <c r="AB13" s="25"/>
      <c r="AC13" s="249" t="s">
        <v>139</v>
      </c>
      <c r="AD13" s="249"/>
      <c r="AE13" s="249"/>
      <c r="AF13" s="249"/>
      <c r="AG13" s="249"/>
      <c r="AH13" s="249"/>
      <c r="AI13" s="249"/>
      <c r="AJ13" s="249"/>
      <c r="AK13" s="249"/>
      <c r="AL13" s="249"/>
      <c r="AM13" s="25"/>
      <c r="AN13" s="78" t="s">
        <v>2</v>
      </c>
      <c r="AO13" s="78" t="s">
        <v>12</v>
      </c>
      <c r="AP13" s="25"/>
      <c r="AQ13" s="246" t="s">
        <v>140</v>
      </c>
      <c r="AR13" s="246"/>
      <c r="AS13" s="246"/>
      <c r="AT13" s="246"/>
      <c r="AU13" s="246"/>
      <c r="AV13" s="246"/>
      <c r="AW13" s="246"/>
      <c r="AX13" s="246"/>
      <c r="AY13" s="246"/>
      <c r="AZ13" s="246"/>
      <c r="BA13" s="25"/>
      <c r="BB13" s="246" t="s">
        <v>55</v>
      </c>
      <c r="BC13" s="246"/>
      <c r="BD13" s="246"/>
      <c r="BE13" s="246"/>
      <c r="BF13" s="246"/>
      <c r="BG13" s="246"/>
      <c r="BH13" s="246"/>
      <c r="BI13" s="246"/>
      <c r="BJ13" s="246"/>
      <c r="BK13" s="246"/>
      <c r="BL13" s="25"/>
      <c r="BM13" s="138"/>
      <c r="BN13" s="116"/>
      <c r="BO13" s="125"/>
      <c r="BP13" s="116"/>
      <c r="BQ13" s="125"/>
      <c r="BR13" s="116"/>
      <c r="BS13" s="125"/>
      <c r="BT13" s="125"/>
      <c r="BU13" s="116"/>
      <c r="BV13" s="116"/>
      <c r="BW13" s="116"/>
      <c r="BX13" s="116"/>
      <c r="BY13" s="116"/>
    </row>
    <row r="14" spans="1:77" x14ac:dyDescent="0.25">
      <c r="D14" s="25"/>
      <c r="E14" s="244" t="s">
        <v>69</v>
      </c>
      <c r="F14" s="244"/>
      <c r="G14" s="244"/>
      <c r="H14" s="245" t="s">
        <v>55</v>
      </c>
      <c r="I14" s="245"/>
      <c r="J14" s="245"/>
      <c r="K14" s="245"/>
      <c r="L14" s="245"/>
      <c r="M14" s="25"/>
      <c r="N14" s="76"/>
      <c r="O14" s="76"/>
      <c r="P14" s="25"/>
      <c r="Q14" s="245" t="s">
        <v>225</v>
      </c>
      <c r="R14" s="245"/>
      <c r="S14" s="245"/>
      <c r="T14" s="245"/>
      <c r="U14" s="245"/>
      <c r="V14" s="245"/>
      <c r="W14" s="245"/>
      <c r="Z14" s="25"/>
      <c r="AA14" s="88"/>
      <c r="AB14" s="25"/>
      <c r="AC14" s="6"/>
      <c r="AD14" s="6"/>
      <c r="AE14" s="6"/>
      <c r="AF14" s="6"/>
      <c r="AG14" s="6"/>
      <c r="AH14" s="6"/>
      <c r="AI14" s="6"/>
      <c r="AJ14" s="6"/>
      <c r="AK14" s="6"/>
      <c r="AL14" s="6"/>
      <c r="AM14" s="25"/>
      <c r="AN14" s="6"/>
      <c r="AO14" s="6"/>
      <c r="AP14" s="25"/>
      <c r="AQ14" s="6"/>
      <c r="AR14" s="6"/>
      <c r="AS14" s="6"/>
      <c r="AT14" s="6"/>
      <c r="AU14" s="6"/>
      <c r="AV14" s="6"/>
      <c r="AW14" s="6"/>
      <c r="AX14" s="6"/>
      <c r="AY14" s="6"/>
      <c r="AZ14" s="6"/>
      <c r="BA14" s="25"/>
      <c r="BB14" s="6"/>
      <c r="BC14" s="6"/>
      <c r="BD14" s="6"/>
      <c r="BE14" s="6"/>
      <c r="BF14" s="6"/>
      <c r="BG14" s="6"/>
      <c r="BH14" s="6"/>
      <c r="BI14" s="6"/>
      <c r="BJ14" s="6"/>
      <c r="BK14" s="6"/>
      <c r="BL14" s="25"/>
      <c r="BM14" s="244" t="s">
        <v>224</v>
      </c>
      <c r="BN14" s="244"/>
      <c r="BO14" s="244"/>
      <c r="BP14" s="244"/>
      <c r="BQ14" s="244"/>
      <c r="BR14" s="244"/>
      <c r="BS14" s="244"/>
      <c r="BT14" s="244"/>
      <c r="BU14" s="244"/>
      <c r="BV14" s="244"/>
      <c r="BW14" s="244"/>
      <c r="BX14" s="244"/>
      <c r="BY14" s="244"/>
    </row>
    <row r="15" spans="1:77" ht="49.5" customHeight="1" x14ac:dyDescent="0.35">
      <c r="A15" s="19" t="s">
        <v>5</v>
      </c>
      <c r="B15" s="19" t="s">
        <v>4</v>
      </c>
      <c r="C15" s="21" t="s">
        <v>84</v>
      </c>
      <c r="D15" s="25"/>
      <c r="E15" s="72" t="s">
        <v>72</v>
      </c>
      <c r="F15" s="72" t="s">
        <v>70</v>
      </c>
      <c r="G15" s="72" t="s">
        <v>3</v>
      </c>
      <c r="H15" s="33" t="s">
        <v>72</v>
      </c>
      <c r="I15" s="33" t="s">
        <v>70</v>
      </c>
      <c r="J15" s="33" t="s">
        <v>73</v>
      </c>
      <c r="K15" s="33" t="s">
        <v>130</v>
      </c>
      <c r="L15" s="33" t="s">
        <v>82</v>
      </c>
      <c r="M15" s="25"/>
      <c r="N15" s="76" t="s">
        <v>131</v>
      </c>
      <c r="O15" s="76" t="s">
        <v>253</v>
      </c>
      <c r="P15" s="25"/>
      <c r="Q15" s="31" t="s">
        <v>51</v>
      </c>
      <c r="R15" s="31" t="s">
        <v>54</v>
      </c>
      <c r="S15" s="31" t="s">
        <v>59</v>
      </c>
      <c r="T15" s="31" t="s">
        <v>49</v>
      </c>
      <c r="U15" s="31" t="s">
        <v>52</v>
      </c>
      <c r="V15" s="31" t="s">
        <v>53</v>
      </c>
      <c r="W15" s="31" t="s">
        <v>56</v>
      </c>
      <c r="Z15" s="25"/>
      <c r="AA15" s="88"/>
      <c r="AB15" s="25"/>
      <c r="AC15" s="95" t="s">
        <v>155</v>
      </c>
      <c r="AD15" s="6"/>
      <c r="AE15" s="6"/>
      <c r="AF15" s="6"/>
      <c r="AG15" s="6"/>
      <c r="AH15" s="6"/>
      <c r="AI15" s="6"/>
      <c r="AJ15" s="6"/>
      <c r="AK15" s="6"/>
      <c r="AL15" s="6"/>
      <c r="AM15" s="25"/>
      <c r="AN15" s="6"/>
      <c r="AO15" s="6"/>
      <c r="AP15" s="25"/>
      <c r="AQ15" s="95" t="s">
        <v>155</v>
      </c>
      <c r="AR15" s="6"/>
      <c r="AS15" s="6"/>
      <c r="AT15" s="6"/>
      <c r="AU15" s="6"/>
      <c r="AV15" s="6"/>
      <c r="AW15" s="6"/>
      <c r="AX15" s="6"/>
      <c r="AY15" s="6"/>
      <c r="AZ15" s="6"/>
      <c r="BA15" s="25"/>
      <c r="BB15" s="95" t="s">
        <v>155</v>
      </c>
      <c r="BC15" s="6"/>
      <c r="BD15" s="6"/>
      <c r="BE15" s="6"/>
      <c r="BF15" s="6"/>
      <c r="BG15" s="6"/>
      <c r="BH15" s="6"/>
      <c r="BI15" s="6"/>
      <c r="BJ15" s="6"/>
      <c r="BK15" s="6"/>
      <c r="BL15" s="25"/>
      <c r="BM15" s="143" t="s">
        <v>219</v>
      </c>
      <c r="BN15" s="143" t="s">
        <v>220</v>
      </c>
      <c r="BO15" s="143" t="s">
        <v>223</v>
      </c>
      <c r="BP15" s="143" t="s">
        <v>221</v>
      </c>
      <c r="BQ15" s="143" t="s">
        <v>222</v>
      </c>
      <c r="BR15" s="143" t="s">
        <v>218</v>
      </c>
      <c r="BS15" s="143" t="s">
        <v>217</v>
      </c>
      <c r="BT15" s="143" t="s">
        <v>216</v>
      </c>
      <c r="BU15" s="143" t="s">
        <v>214</v>
      </c>
      <c r="BV15" s="143" t="s">
        <v>215</v>
      </c>
      <c r="BW15" s="143"/>
      <c r="BX15" s="143"/>
      <c r="BY15" s="143"/>
    </row>
    <row r="16" spans="1:77" x14ac:dyDescent="0.25">
      <c r="A16" s="14">
        <v>0</v>
      </c>
      <c r="B16" s="14">
        <f>+age+A16</f>
        <v>40</v>
      </c>
      <c r="C16" s="38">
        <f t="shared" ref="C16:C79" si="4">+(1+inflation)^A16</f>
        <v>1</v>
      </c>
      <c r="D16" s="25"/>
      <c r="E16" s="73"/>
      <c r="F16" s="73"/>
      <c r="G16" s="73"/>
      <c r="H16" s="4"/>
      <c r="I16" s="4"/>
      <c r="J16" s="4"/>
      <c r="K16" s="4"/>
      <c r="L16" s="4"/>
      <c r="M16" s="25"/>
      <c r="N16" s="77"/>
      <c r="O16" s="77"/>
      <c r="P16" s="25"/>
      <c r="Q16" s="36"/>
      <c r="R16" s="36"/>
      <c r="S16" s="36"/>
      <c r="T16" s="36"/>
      <c r="U16" s="36"/>
      <c r="V16" s="36"/>
      <c r="W16" s="36"/>
      <c r="Z16" s="25"/>
      <c r="AA16" s="89"/>
      <c r="AB16" s="25"/>
      <c r="AC16" s="2"/>
      <c r="AD16" s="2"/>
      <c r="AE16" s="2"/>
      <c r="AF16" s="2"/>
      <c r="AG16" s="2"/>
      <c r="AH16" s="2"/>
      <c r="AI16" s="2"/>
      <c r="AJ16" s="2"/>
      <c r="AK16" s="2"/>
      <c r="AL16" s="2"/>
      <c r="AM16" s="25"/>
      <c r="AN16" s="2"/>
      <c r="AO16" s="2"/>
      <c r="AP16" s="25"/>
      <c r="AQ16" s="2"/>
      <c r="AR16" s="2"/>
      <c r="AS16" s="2"/>
      <c r="AT16" s="2"/>
      <c r="AU16" s="2"/>
      <c r="AV16" s="2"/>
      <c r="AW16" s="2"/>
      <c r="AX16" s="2"/>
      <c r="AY16" s="2"/>
      <c r="AZ16" s="2"/>
      <c r="BA16" s="25"/>
      <c r="BB16" s="2"/>
      <c r="BC16" s="2"/>
      <c r="BD16" s="2"/>
      <c r="BE16" s="2"/>
      <c r="BF16" s="2"/>
      <c r="BG16" s="2"/>
      <c r="BH16" s="2"/>
      <c r="BI16" s="2"/>
      <c r="BJ16" s="2"/>
      <c r="BK16" s="2"/>
      <c r="BL16" s="25"/>
      <c r="BM16" s="144"/>
      <c r="BN16" s="144"/>
      <c r="BO16" s="144"/>
      <c r="BP16" s="144"/>
      <c r="BQ16" s="144"/>
      <c r="BR16" s="144"/>
      <c r="BS16" s="144"/>
      <c r="BT16" s="144"/>
      <c r="BU16" s="144"/>
      <c r="BV16" s="144"/>
      <c r="BW16" s="144"/>
      <c r="BX16" s="144"/>
      <c r="BY16" s="144"/>
    </row>
    <row r="17" spans="1:77" x14ac:dyDescent="0.25">
      <c r="A17" s="14">
        <f>+A16+1</f>
        <v>1</v>
      </c>
      <c r="B17" s="14">
        <f>+B16+1</f>
        <v>41</v>
      </c>
      <c r="C17" s="38">
        <f t="shared" si="4"/>
        <v>1.02</v>
      </c>
      <c r="D17" s="25"/>
      <c r="E17" s="74">
        <f>+SUMIFS(Income!D11:K11,Income!D$5:K$5,FALSE)</f>
        <v>112455</v>
      </c>
      <c r="F17" s="74">
        <f>+Investments!P12</f>
        <v>2800</v>
      </c>
      <c r="G17" s="74">
        <f t="shared" ref="G17:G48" si="5">+E17+F17</f>
        <v>115255</v>
      </c>
      <c r="H17" s="5">
        <f>+SUMIFS(Income!D11:K11,Income!D$5:K$5,TRUE)</f>
        <v>0</v>
      </c>
      <c r="I17" s="5">
        <f ca="1">+Investments!Q12</f>
        <v>0</v>
      </c>
      <c r="J17" s="5">
        <f>+RealEstate!G6</f>
        <v>0</v>
      </c>
      <c r="K17" s="5">
        <f t="shared" ref="K17:K48" ca="1" si="6">+SUM(H17:J17)</f>
        <v>0</v>
      </c>
      <c r="L17" s="5">
        <f t="shared" ref="L17:L48" ca="1" si="7">+BB17</f>
        <v>0</v>
      </c>
      <c r="M17" s="25"/>
      <c r="N17" s="77">
        <f>+Investments!N12</f>
        <v>0</v>
      </c>
      <c r="O17" s="77">
        <f t="shared" ref="O17:O58" si="8">+IF(AND(B17&lt;60,N17&lt;0),N17*0.1,0)</f>
        <v>0</v>
      </c>
      <c r="P17" s="25"/>
      <c r="Q17" s="32">
        <f t="shared" ref="Q17" ca="1" si="9">+MAX(0,G17+K17-N17)</f>
        <v>115255</v>
      </c>
      <c r="R17" s="32">
        <f t="shared" ref="R17:R48" ca="1" si="10">MAX(0,+Q17-MAX($B$9*$C17,T17))</f>
        <v>90775</v>
      </c>
      <c r="S17" s="32">
        <f ca="1">+AQ17+RealEstate!H6</f>
        <v>9485.75</v>
      </c>
      <c r="T17" s="32">
        <f>+RealEstate!I6</f>
        <v>8400</v>
      </c>
      <c r="U17" s="32">
        <f t="shared" ref="U17:U48" ca="1" si="11">+MAX($B$9*$C17,MIN(T17,$B$10*$C17)+S17)</f>
        <v>24480</v>
      </c>
      <c r="V17" s="32">
        <f ca="1">IF(G17=0,0,MAX(0,G17-U17*(G17/(G17+K17))))-N17</f>
        <v>90775</v>
      </c>
      <c r="W17" s="32">
        <f t="shared" ref="W17:W48" ca="1" si="12">IF(K17=0,0,MAX(0,+K17-U17*(K17/(G17+K17))))</f>
        <v>0</v>
      </c>
      <c r="Z17" s="25"/>
      <c r="AA17" s="90">
        <f t="shared" ref="AA17:AA22" ca="1" si="13">+AC17+AN17+AO17+AQ17+BB17-O17</f>
        <v>22596.877499999999</v>
      </c>
      <c r="AB17" s="25"/>
      <c r="AC17" s="2">
        <f t="shared" ref="AC17:AC48" ca="1" si="14">+SUM(AD17:AL17)</f>
        <v>11521.84</v>
      </c>
      <c r="AD17" s="2">
        <f t="shared" ref="AD17:AL17" ca="1" si="15">MAX(0,MIN($V17,AD$11*$C17)-AC$11*$C17)*AC$10</f>
        <v>1978.8000000000002</v>
      </c>
      <c r="AE17" s="2">
        <f t="shared" ca="1" si="15"/>
        <v>7288.92</v>
      </c>
      <c r="AF17" s="2">
        <f t="shared" ca="1" si="15"/>
        <v>2254.12</v>
      </c>
      <c r="AG17" s="2">
        <f t="shared" ca="1" si="15"/>
        <v>0</v>
      </c>
      <c r="AH17" s="2">
        <f t="shared" ca="1" si="15"/>
        <v>0</v>
      </c>
      <c r="AI17" s="2">
        <f t="shared" ca="1" si="15"/>
        <v>0</v>
      </c>
      <c r="AJ17" s="2">
        <f t="shared" ca="1" si="15"/>
        <v>0</v>
      </c>
      <c r="AK17" s="2">
        <f t="shared" ca="1" si="15"/>
        <v>0</v>
      </c>
      <c r="AL17" s="2">
        <f t="shared" ca="1" si="15"/>
        <v>0</v>
      </c>
      <c r="AM17" s="25"/>
      <c r="AN17" s="2">
        <f t="shared" ref="AN17:AN48" ca="1" si="16">+(MIN(V17,$AN$11)*$AN$10)*IF($B$12,2,1)</f>
        <v>5628.05</v>
      </c>
      <c r="AO17" s="2">
        <f t="shared" ref="AO17:AO48" ca="1" si="17">((V17*$AO$9)+MAX(0,+V17-$AO$11*$C17)*$AO$10)*IF($B$12,2,1)</f>
        <v>1316.2375</v>
      </c>
      <c r="AP17" s="25"/>
      <c r="AQ17" s="2">
        <f t="shared" ref="AQ17:AQ48" ca="1" si="18">+SUM(AR17:AZ17)</f>
        <v>4130.75</v>
      </c>
      <c r="AR17" s="2">
        <f t="shared" ref="AR17:AZ17" ca="1" si="19">MAX(0,MIN($R17,AR$11*$C17)-AQ$11*$C17)*AQ$10</f>
        <v>612</v>
      </c>
      <c r="AS17" s="2">
        <f t="shared" ca="1" si="19"/>
        <v>3518.75</v>
      </c>
      <c r="AT17" s="2">
        <f t="shared" ca="1" si="19"/>
        <v>0</v>
      </c>
      <c r="AU17" s="2">
        <f t="shared" ca="1" si="19"/>
        <v>0</v>
      </c>
      <c r="AV17" s="2">
        <f t="shared" ca="1" si="19"/>
        <v>0</v>
      </c>
      <c r="AW17" s="2">
        <f t="shared" ca="1" si="19"/>
        <v>0</v>
      </c>
      <c r="AX17" s="2">
        <f t="shared" ca="1" si="19"/>
        <v>0</v>
      </c>
      <c r="AY17" s="2">
        <f t="shared" ca="1" si="19"/>
        <v>0</v>
      </c>
      <c r="AZ17" s="2">
        <f t="shared" ca="1" si="19"/>
        <v>0</v>
      </c>
      <c r="BA17" s="25"/>
      <c r="BB17" s="2">
        <f t="shared" ref="BB17:BB48" ca="1" si="20">+SUM(BC17:BK17)</f>
        <v>0</v>
      </c>
      <c r="BC17" s="2">
        <f t="shared" ref="BC17:BK17" ca="1" si="21">MAX(0,MIN($W17,BC$11*$C17)-BB$11*$C17)*BB$10</f>
        <v>0</v>
      </c>
      <c r="BD17" s="2">
        <f t="shared" ca="1" si="21"/>
        <v>0</v>
      </c>
      <c r="BE17" s="2">
        <f t="shared" ca="1" si="21"/>
        <v>0</v>
      </c>
      <c r="BF17" s="2">
        <f t="shared" ca="1" si="21"/>
        <v>0</v>
      </c>
      <c r="BG17" s="2">
        <f t="shared" ca="1" si="21"/>
        <v>0</v>
      </c>
      <c r="BH17" s="2">
        <f t="shared" ca="1" si="21"/>
        <v>0</v>
      </c>
      <c r="BI17" s="2">
        <f t="shared" ca="1" si="21"/>
        <v>0</v>
      </c>
      <c r="BJ17" s="2">
        <f t="shared" ca="1" si="21"/>
        <v>0</v>
      </c>
      <c r="BK17" s="2">
        <f t="shared" ca="1" si="21"/>
        <v>0</v>
      </c>
      <c r="BL17" s="25"/>
      <c r="BM17" s="145">
        <f t="shared" ref="BM17:BM48" si="22">+MAX(0,G17+H17+J17)</f>
        <v>115255</v>
      </c>
      <c r="BN17" s="145">
        <f t="shared" ref="BN17:BN48" si="23">MAX(0,+BM17-MAX($B$9*$C17,T17))</f>
        <v>90775</v>
      </c>
      <c r="BO17" s="145">
        <f t="shared" ref="BO17:BO48" si="24">+MAX($B$9*$C17,MIN(T17,$B$10*$C17)+BT17)</f>
        <v>24480</v>
      </c>
      <c r="BP17" s="145">
        <f t="shared" ref="BP17:BP48" si="25">IF(G17=0,0,MAX(0,G17-BO17*(G17/(G17+H17+J17))))</f>
        <v>90775</v>
      </c>
      <c r="BQ17" s="145">
        <f t="shared" ref="BQ17:BQ48" si="26">+H17+J17</f>
        <v>0</v>
      </c>
      <c r="BR17" s="145">
        <f t="shared" ref="BR17" si="27">+SUM(BS17:BV17)</f>
        <v>22596.877500000002</v>
      </c>
      <c r="BS17" s="145">
        <f t="shared" ref="BS17:BS48" si="28">+((INDEX($Q$3:$Q$11,BW17+1)*$C17-BP17)*INDEX($S$3:$S$11,BW17)*C17+(BP17-INDEX($Q$3:$Q$11,BW17)*$C17)*INDEX($S$3:$S$11,BW17+1)*C17)/(INDEX($Q$3:$Q$11,BW17+1)*$C17-INDEX($Q$3:$Q$11,BW17)*$C17)</f>
        <v>11521.84</v>
      </c>
      <c r="BT17" s="145">
        <f t="shared" ref="BT17:BT48" si="29">+((INDEX($T$3:$T$11,BX17+1)*$C17-BN17)*INDEX($V$3:$V$11,BX17)*$C17+(BN17-INDEX($T$3:$T$11,BX17)*$C17)*INDEX($V$3:$V$11,BX17+1)*$C17)/(INDEX($T$3:$T$11,BX17+1)*$C17-INDEX($T$3:$T$11,BX17)*$C17)</f>
        <v>4130.75</v>
      </c>
      <c r="BU17" s="145">
        <f t="shared" ref="BU17:BU48" si="30">+((INDEX($W$3:$W$11,BY17+1)*$C17-BQ17)*INDEX($Y$3:$Y$11,BY17)*$C17+(BQ17-INDEX($W$3:$W$11,BY17)*$C17)*INDEX($Y$3:$Y$11,BY17+1)*$C17)/(INDEX($W$3:$W$11,BY17+1)*$C17-INDEX($W$3:$W$11,BY17)*$C17)</f>
        <v>0</v>
      </c>
      <c r="BV17" s="145">
        <f t="shared" ref="BV17:BV48" si="31">+(MIN(BP17,$AN$11*$C17)*$AN$10)*IF($B$12,2,1)+((BP17*$AO$9)+MAX(0,+BP17-$AO$11*$C17)*$AO$10)*IF($B$12,2,1)</f>
        <v>6944.2875000000004</v>
      </c>
      <c r="BW17" s="146">
        <f t="shared" ref="BW17:BW48" si="32">+MATCH(BP17/C17,$Q$3:$Q$11,1)</f>
        <v>3</v>
      </c>
      <c r="BX17" s="146">
        <f t="shared" ref="BX17:BX48" si="33">+MATCH(BN17/C17,$T$3:$T$11,1)</f>
        <v>2</v>
      </c>
      <c r="BY17" s="146">
        <f t="shared" ref="BY17:BY48" si="34">+MATCH(BO17/C17,$W$3:$W$11,1)</f>
        <v>1</v>
      </c>
    </row>
    <row r="18" spans="1:77" x14ac:dyDescent="0.25">
      <c r="A18" s="14">
        <f t="shared" ref="A18:B33" si="35">+A17+1</f>
        <v>2</v>
      </c>
      <c r="B18" s="14">
        <f t="shared" si="35"/>
        <v>42</v>
      </c>
      <c r="C18" s="38">
        <f t="shared" si="4"/>
        <v>1.0404</v>
      </c>
      <c r="D18" s="25"/>
      <c r="E18" s="74">
        <f>+SUMIFS(Income!D12:K12,Income!D$5:K$5,FALSE)</f>
        <v>120439.30500000001</v>
      </c>
      <c r="F18" s="74">
        <f ca="1">+Investments!P13</f>
        <v>2819.3148437302093</v>
      </c>
      <c r="G18" s="74">
        <f t="shared" ca="1" si="5"/>
        <v>123258.61984373022</v>
      </c>
      <c r="H18" s="5">
        <f>+SUMIFS(Income!D12:K12,Income!D$5:K$5,TRUE)</f>
        <v>0</v>
      </c>
      <c r="I18" s="5">
        <f ca="1">+Investments!Q13</f>
        <v>0</v>
      </c>
      <c r="J18" s="5">
        <f>+RealEstate!G7</f>
        <v>0</v>
      </c>
      <c r="K18" s="5">
        <f t="shared" ca="1" si="6"/>
        <v>0</v>
      </c>
      <c r="L18" s="5">
        <f t="shared" ca="1" si="7"/>
        <v>0</v>
      </c>
      <c r="M18" s="25"/>
      <c r="N18" s="77">
        <f ca="1">+Investments!N13</f>
        <v>7863.0668498088235</v>
      </c>
      <c r="O18" s="77">
        <f t="shared" ca="1" si="8"/>
        <v>0</v>
      </c>
      <c r="P18" s="25"/>
      <c r="Q18" s="32">
        <f ca="1">+MAX(0,G18+K18-N18)</f>
        <v>115395.5529939214</v>
      </c>
      <c r="R18" s="32">
        <f t="shared" ca="1" si="10"/>
        <v>90425.952993921412</v>
      </c>
      <c r="S18" s="32">
        <f ca="1">+AQ18+RealEstate!H7</f>
        <v>9567.2376496960715</v>
      </c>
      <c r="T18" s="32">
        <f>+RealEstate!I7</f>
        <v>8250.2271672772458</v>
      </c>
      <c r="U18" s="32">
        <f t="shared" ca="1" si="11"/>
        <v>24969.599999999999</v>
      </c>
      <c r="V18" s="32">
        <f t="shared" ref="V18:V81" ca="1" si="36">IF(G18=0,0,MAX(0,G18-U18*(G18/(G18+K18))))-N18</f>
        <v>90425.952993921412</v>
      </c>
      <c r="W18" s="32">
        <f t="shared" ca="1" si="12"/>
        <v>0</v>
      </c>
      <c r="Z18" s="25"/>
      <c r="AA18" s="90">
        <f t="shared" ca="1" si="13"/>
        <v>22298.799512393773</v>
      </c>
      <c r="AB18" s="25"/>
      <c r="AC18" s="2">
        <f t="shared" ca="1" si="14"/>
        <v>11276.07645866271</v>
      </c>
      <c r="AD18" s="2">
        <f t="shared" ref="AD18:AL18" ca="1" si="37">MAX(0,MIN($V18,AD$11*$C18)-AC$11*$C18)*AC$10</f>
        <v>2018.376</v>
      </c>
      <c r="AE18" s="2">
        <f t="shared" ca="1" si="37"/>
        <v>7434.6984000000002</v>
      </c>
      <c r="AF18" s="2">
        <f t="shared" ca="1" si="37"/>
        <v>1823.0020586627102</v>
      </c>
      <c r="AG18" s="2">
        <f t="shared" ca="1" si="37"/>
        <v>0</v>
      </c>
      <c r="AH18" s="2">
        <f t="shared" ca="1" si="37"/>
        <v>0</v>
      </c>
      <c r="AI18" s="2">
        <f t="shared" ca="1" si="37"/>
        <v>0</v>
      </c>
      <c r="AJ18" s="2">
        <f t="shared" ca="1" si="37"/>
        <v>0</v>
      </c>
      <c r="AK18" s="2">
        <f t="shared" ca="1" si="37"/>
        <v>0</v>
      </c>
      <c r="AL18" s="2">
        <f t="shared" ca="1" si="37"/>
        <v>0</v>
      </c>
      <c r="AM18" s="25"/>
      <c r="AN18" s="2">
        <f t="shared" ca="1" si="16"/>
        <v>5606.4090856231278</v>
      </c>
      <c r="AO18" s="2">
        <f t="shared" ca="1" si="17"/>
        <v>1311.1763184118606</v>
      </c>
      <c r="AP18" s="25"/>
      <c r="AQ18" s="2">
        <f t="shared" ca="1" si="18"/>
        <v>4105.1376496960711</v>
      </c>
      <c r="AR18" s="2">
        <f t="shared" ref="AR18:AZ18" ca="1" si="38">MAX(0,MIN($R18,AR$11*$C18)-AQ$11*$C18)*AQ$10</f>
        <v>624.24</v>
      </c>
      <c r="AS18" s="2">
        <f t="shared" ca="1" si="38"/>
        <v>3480.8976496960709</v>
      </c>
      <c r="AT18" s="2">
        <f t="shared" ca="1" si="38"/>
        <v>0</v>
      </c>
      <c r="AU18" s="2">
        <f t="shared" ca="1" si="38"/>
        <v>0</v>
      </c>
      <c r="AV18" s="2">
        <f t="shared" ca="1" si="38"/>
        <v>0</v>
      </c>
      <c r="AW18" s="2">
        <f t="shared" ca="1" si="38"/>
        <v>0</v>
      </c>
      <c r="AX18" s="2">
        <f t="shared" ca="1" si="38"/>
        <v>0</v>
      </c>
      <c r="AY18" s="2">
        <f t="shared" ca="1" si="38"/>
        <v>0</v>
      </c>
      <c r="AZ18" s="2">
        <f t="shared" ca="1" si="38"/>
        <v>0</v>
      </c>
      <c r="BA18" s="25"/>
      <c r="BB18" s="2">
        <f t="shared" ca="1" si="20"/>
        <v>0</v>
      </c>
      <c r="BC18" s="2">
        <f t="shared" ref="BC18:BK18" ca="1" si="39">MAX(0,MIN($W18,BC$11*$C18)-BB$11*$C18)*BB$10</f>
        <v>0</v>
      </c>
      <c r="BD18" s="2">
        <f t="shared" ca="1" si="39"/>
        <v>0</v>
      </c>
      <c r="BE18" s="2">
        <f t="shared" ca="1" si="39"/>
        <v>0</v>
      </c>
      <c r="BF18" s="2">
        <f t="shared" ca="1" si="39"/>
        <v>0</v>
      </c>
      <c r="BG18" s="2">
        <f t="shared" ca="1" si="39"/>
        <v>0</v>
      </c>
      <c r="BH18" s="2">
        <f t="shared" ca="1" si="39"/>
        <v>0</v>
      </c>
      <c r="BI18" s="2">
        <f t="shared" ca="1" si="39"/>
        <v>0</v>
      </c>
      <c r="BJ18" s="2">
        <f t="shared" ca="1" si="39"/>
        <v>0</v>
      </c>
      <c r="BK18" s="2">
        <f t="shared" ca="1" si="39"/>
        <v>0</v>
      </c>
      <c r="BL18" s="25"/>
      <c r="BM18" s="145">
        <f t="shared" ca="1" si="22"/>
        <v>123258.61984373022</v>
      </c>
      <c r="BN18" s="145">
        <f t="shared" ca="1" si="23"/>
        <v>98289.019843730232</v>
      </c>
      <c r="BO18" s="145">
        <f t="shared" ca="1" si="24"/>
        <v>24969.599999999999</v>
      </c>
      <c r="BP18" s="145">
        <f t="shared" ca="1" si="25"/>
        <v>98289.019843730232</v>
      </c>
      <c r="BQ18" s="145">
        <f t="shared" si="26"/>
        <v>0</v>
      </c>
      <c r="BR18" s="145">
        <f t="shared" ref="BR18:BR81" ca="1" si="40">+SUM(BS18:BV18)</f>
        <v>25023.352175852528</v>
      </c>
      <c r="BS18" s="145">
        <f t="shared" ca="1" si="28"/>
        <v>13005.951165620654</v>
      </c>
      <c r="BT18" s="145">
        <f t="shared" ca="1" si="29"/>
        <v>4498.2909921865112</v>
      </c>
      <c r="BU18" s="145">
        <f t="shared" ca="1" si="30"/>
        <v>0</v>
      </c>
      <c r="BV18" s="145">
        <f t="shared" ca="1" si="31"/>
        <v>7519.1100180453623</v>
      </c>
      <c r="BW18" s="146">
        <f t="shared" ca="1" si="32"/>
        <v>3</v>
      </c>
      <c r="BX18" s="146">
        <f t="shared" ca="1" si="33"/>
        <v>2</v>
      </c>
      <c r="BY18" s="146">
        <f t="shared" ca="1" si="34"/>
        <v>1</v>
      </c>
    </row>
    <row r="19" spans="1:77" x14ac:dyDescent="0.25">
      <c r="A19" s="14">
        <f t="shared" si="35"/>
        <v>3</v>
      </c>
      <c r="B19" s="14">
        <f t="shared" si="35"/>
        <v>43</v>
      </c>
      <c r="C19" s="38">
        <f t="shared" si="4"/>
        <v>1.0612079999999999</v>
      </c>
      <c r="D19" s="25"/>
      <c r="E19" s="74">
        <f>+SUMIFS(Income!D13:K13,Income!D$5:K$5,FALSE)</f>
        <v>128990.49565500001</v>
      </c>
      <c r="F19" s="74">
        <f ca="1">+Investments!P14</f>
        <v>2829.5148437302096</v>
      </c>
      <c r="G19" s="74">
        <f t="shared" ca="1" si="5"/>
        <v>131820.0104987302</v>
      </c>
      <c r="H19" s="5">
        <f>+SUMIFS(Income!D13:K13,Income!D$5:K$5,TRUE)</f>
        <v>0</v>
      </c>
      <c r="I19" s="5">
        <f ca="1">+Investments!Q14</f>
        <v>0</v>
      </c>
      <c r="J19" s="5">
        <f>+RealEstate!G8</f>
        <v>0</v>
      </c>
      <c r="K19" s="5">
        <f t="shared" ca="1" si="6"/>
        <v>0</v>
      </c>
      <c r="L19" s="5">
        <f t="shared" ca="1" si="7"/>
        <v>0</v>
      </c>
      <c r="M19" s="25"/>
      <c r="N19" s="77">
        <f ca="1">+Investments!N14</f>
        <v>12245.942142357679</v>
      </c>
      <c r="O19" s="77">
        <f t="shared" ca="1" si="8"/>
        <v>0</v>
      </c>
      <c r="P19" s="25"/>
      <c r="Q19" s="32">
        <f t="shared" ref="Q19:Q82" ca="1" si="41">+MAX(0,G19+K19-N19)</f>
        <v>119574.06835637253</v>
      </c>
      <c r="R19" s="32">
        <f t="shared" ca="1" si="10"/>
        <v>94105.076356372534</v>
      </c>
      <c r="S19" s="32">
        <f ca="1">+AQ19+RealEstate!H8</f>
        <v>9852.1126178186278</v>
      </c>
      <c r="T19" s="32">
        <f>+RealEstate!I8</f>
        <v>8094.4634212455803</v>
      </c>
      <c r="U19" s="32">
        <f t="shared" ca="1" si="11"/>
        <v>25468.991999999998</v>
      </c>
      <c r="V19" s="32">
        <f t="shared" ca="1" si="36"/>
        <v>94105.076356372534</v>
      </c>
      <c r="W19" s="32">
        <f t="shared" ca="1" si="12"/>
        <v>0</v>
      </c>
      <c r="Z19" s="25"/>
      <c r="AA19" s="90">
        <f t="shared" ca="1" si="13"/>
        <v>23392.939893483082</v>
      </c>
      <c r="AB19" s="25"/>
      <c r="AC19" s="2">
        <f t="shared" ca="1" si="14"/>
        <v>11913.130934401959</v>
      </c>
      <c r="AD19" s="2">
        <f t="shared" ref="AD19:AL19" ca="1" si="42">MAX(0,MIN($V19,AD$11*$C19)-AC$11*$C19)*AC$10</f>
        <v>2058.74352</v>
      </c>
      <c r="AE19" s="2">
        <f t="shared" ca="1" si="42"/>
        <v>7583.3923679999998</v>
      </c>
      <c r="AF19" s="2">
        <f t="shared" ca="1" si="42"/>
        <v>2270.995046401958</v>
      </c>
      <c r="AG19" s="2">
        <f t="shared" ca="1" si="42"/>
        <v>0</v>
      </c>
      <c r="AH19" s="2">
        <f t="shared" ca="1" si="42"/>
        <v>0</v>
      </c>
      <c r="AI19" s="2">
        <f t="shared" ca="1" si="42"/>
        <v>0</v>
      </c>
      <c r="AJ19" s="2">
        <f t="shared" ca="1" si="42"/>
        <v>0</v>
      </c>
      <c r="AK19" s="2">
        <f t="shared" ca="1" si="42"/>
        <v>0</v>
      </c>
      <c r="AL19" s="2">
        <f t="shared" ca="1" si="42"/>
        <v>0</v>
      </c>
      <c r="AM19" s="25"/>
      <c r="AN19" s="2">
        <f t="shared" ca="1" si="16"/>
        <v>5834.5147340950971</v>
      </c>
      <c r="AO19" s="2">
        <f t="shared" ca="1" si="17"/>
        <v>1364.5236071674019</v>
      </c>
      <c r="AP19" s="25"/>
      <c r="AQ19" s="2">
        <f t="shared" ca="1" si="18"/>
        <v>4280.7706178186272</v>
      </c>
      <c r="AR19" s="2">
        <f t="shared" ref="AR19:AZ19" ca="1" si="43">MAX(0,MIN($R19,AR$11*$C19)-AQ$11*$C19)*AQ$10</f>
        <v>636.72479999999996</v>
      </c>
      <c r="AS19" s="2">
        <f t="shared" ca="1" si="43"/>
        <v>3644.0458178186268</v>
      </c>
      <c r="AT19" s="2">
        <f t="shared" ca="1" si="43"/>
        <v>0</v>
      </c>
      <c r="AU19" s="2">
        <f t="shared" ca="1" si="43"/>
        <v>0</v>
      </c>
      <c r="AV19" s="2">
        <f t="shared" ca="1" si="43"/>
        <v>0</v>
      </c>
      <c r="AW19" s="2">
        <f t="shared" ca="1" si="43"/>
        <v>0</v>
      </c>
      <c r="AX19" s="2">
        <f t="shared" ca="1" si="43"/>
        <v>0</v>
      </c>
      <c r="AY19" s="2">
        <f t="shared" ca="1" si="43"/>
        <v>0</v>
      </c>
      <c r="AZ19" s="2">
        <f t="shared" ca="1" si="43"/>
        <v>0</v>
      </c>
      <c r="BA19" s="25"/>
      <c r="BB19" s="2">
        <f t="shared" ca="1" si="20"/>
        <v>0</v>
      </c>
      <c r="BC19" s="2">
        <f t="shared" ref="BC19:BK19" ca="1" si="44">MAX(0,MIN($W19,BC$11*$C19)-BB$11*$C19)*BB$10</f>
        <v>0</v>
      </c>
      <c r="BD19" s="2">
        <f t="shared" ca="1" si="44"/>
        <v>0</v>
      </c>
      <c r="BE19" s="2">
        <f t="shared" ca="1" si="44"/>
        <v>0</v>
      </c>
      <c r="BF19" s="2">
        <f t="shared" ca="1" si="44"/>
        <v>0</v>
      </c>
      <c r="BG19" s="2">
        <f t="shared" ca="1" si="44"/>
        <v>0</v>
      </c>
      <c r="BH19" s="2">
        <f t="shared" ca="1" si="44"/>
        <v>0</v>
      </c>
      <c r="BI19" s="2">
        <f t="shared" ca="1" si="44"/>
        <v>0</v>
      </c>
      <c r="BJ19" s="2">
        <f t="shared" ca="1" si="44"/>
        <v>0</v>
      </c>
      <c r="BK19" s="2">
        <f t="shared" ca="1" si="44"/>
        <v>0</v>
      </c>
      <c r="BL19" s="25"/>
      <c r="BM19" s="145">
        <f t="shared" ca="1" si="22"/>
        <v>131820.0104987302</v>
      </c>
      <c r="BN19" s="145">
        <f t="shared" ca="1" si="23"/>
        <v>106351.01849873021</v>
      </c>
      <c r="BO19" s="145">
        <f t="shared" ca="1" si="24"/>
        <v>25468.991999999998</v>
      </c>
      <c r="BP19" s="145">
        <f t="shared" ca="1" si="25"/>
        <v>106351.01849873021</v>
      </c>
      <c r="BQ19" s="145">
        <f t="shared" si="26"/>
        <v>0</v>
      </c>
      <c r="BR19" s="145">
        <f t="shared" ca="1" si="40"/>
        <v>27637.309938303668</v>
      </c>
      <c r="BS19" s="145">
        <f t="shared" ca="1" si="28"/>
        <v>14607.238205720647</v>
      </c>
      <c r="BT19" s="145">
        <f t="shared" ca="1" si="29"/>
        <v>4894.2188174301618</v>
      </c>
      <c r="BU19" s="145">
        <f t="shared" ca="1" si="30"/>
        <v>0</v>
      </c>
      <c r="BV19" s="145">
        <f t="shared" ca="1" si="31"/>
        <v>8135.852915152861</v>
      </c>
      <c r="BW19" s="146">
        <f t="shared" ca="1" si="32"/>
        <v>3</v>
      </c>
      <c r="BX19" s="146">
        <f t="shared" ca="1" si="33"/>
        <v>3</v>
      </c>
      <c r="BY19" s="146">
        <f t="shared" ca="1" si="34"/>
        <v>1</v>
      </c>
    </row>
    <row r="20" spans="1:77" x14ac:dyDescent="0.25">
      <c r="A20" s="14">
        <f t="shared" si="35"/>
        <v>4</v>
      </c>
      <c r="B20" s="14">
        <f t="shared" si="35"/>
        <v>44</v>
      </c>
      <c r="C20" s="38">
        <f t="shared" si="4"/>
        <v>1.08243216</v>
      </c>
      <c r="D20" s="25"/>
      <c r="E20" s="74">
        <f>+SUMIFS(Income!D14:K14,Income!D$5:K$5,FALSE)</f>
        <v>138148.820846505</v>
      </c>
      <c r="F20" s="74">
        <f ca="1">+Investments!P15</f>
        <v>2839.9188437302091</v>
      </c>
      <c r="G20" s="74">
        <f t="shared" ca="1" si="5"/>
        <v>140988.7396902352</v>
      </c>
      <c r="H20" s="5">
        <f>+SUMIFS(Income!D14:K14,Income!D$5:K$5,TRUE)</f>
        <v>0</v>
      </c>
      <c r="I20" s="5">
        <f ca="1">+Investments!Q15</f>
        <v>0</v>
      </c>
      <c r="J20" s="5">
        <f>+RealEstate!G9</f>
        <v>0</v>
      </c>
      <c r="K20" s="5">
        <f t="shared" ca="1" si="6"/>
        <v>0</v>
      </c>
      <c r="L20" s="5">
        <f t="shared" ca="1" si="7"/>
        <v>0</v>
      </c>
      <c r="M20" s="25"/>
      <c r="N20" s="77">
        <f ca="1">+Investments!N15</f>
        <v>16969.962746088659</v>
      </c>
      <c r="O20" s="77">
        <f t="shared" ca="1" si="8"/>
        <v>0</v>
      </c>
      <c r="P20" s="25"/>
      <c r="Q20" s="32">
        <f t="shared" ca="1" si="41"/>
        <v>124018.77694414655</v>
      </c>
      <c r="R20" s="32">
        <f t="shared" ca="1" si="10"/>
        <v>98040.405104146543</v>
      </c>
      <c r="S20" s="32">
        <f ca="1">+AQ20+RealEstate!H9</f>
        <v>10151.816231207327</v>
      </c>
      <c r="T20" s="32">
        <f>+RealEstate!I9</f>
        <v>7932.4691253726487</v>
      </c>
      <c r="U20" s="32">
        <f t="shared" ca="1" si="11"/>
        <v>25978.37184</v>
      </c>
      <c r="V20" s="32">
        <f t="shared" ca="1" si="36"/>
        <v>98040.405104146543</v>
      </c>
      <c r="W20" s="32">
        <f t="shared" ca="1" si="12"/>
        <v>0</v>
      </c>
      <c r="Z20" s="25"/>
      <c r="AA20" s="90">
        <f t="shared" ca="1" si="13"/>
        <v>24572.241923306778</v>
      </c>
      <c r="AB20" s="25"/>
      <c r="AC20" s="2">
        <f t="shared" ca="1" si="14"/>
        <v>12603.103541632239</v>
      </c>
      <c r="AD20" s="2">
        <f t="shared" ref="AD20:AL20" ca="1" si="45">MAX(0,MIN($V20,AD$11*$C20)-AC$11*$C20)*AC$10</f>
        <v>2099.9183904000001</v>
      </c>
      <c r="AE20" s="2">
        <f t="shared" ca="1" si="45"/>
        <v>7735.0602153599984</v>
      </c>
      <c r="AF20" s="2">
        <f t="shared" ca="1" si="45"/>
        <v>2768.1249358722403</v>
      </c>
      <c r="AG20" s="2">
        <f t="shared" ca="1" si="45"/>
        <v>0</v>
      </c>
      <c r="AH20" s="2">
        <f t="shared" ca="1" si="45"/>
        <v>0</v>
      </c>
      <c r="AI20" s="2">
        <f t="shared" ca="1" si="45"/>
        <v>0</v>
      </c>
      <c r="AJ20" s="2">
        <f t="shared" ca="1" si="45"/>
        <v>0</v>
      </c>
      <c r="AK20" s="2">
        <f t="shared" ca="1" si="45"/>
        <v>0</v>
      </c>
      <c r="AL20" s="2">
        <f t="shared" ca="1" si="45"/>
        <v>0</v>
      </c>
      <c r="AM20" s="25"/>
      <c r="AN20" s="2">
        <f t="shared" ca="1" si="16"/>
        <v>6078.5051164570859</v>
      </c>
      <c r="AO20" s="2">
        <f t="shared" ca="1" si="17"/>
        <v>1421.5858740101251</v>
      </c>
      <c r="AP20" s="25"/>
      <c r="AQ20" s="2">
        <f t="shared" ca="1" si="18"/>
        <v>4469.0473912073276</v>
      </c>
      <c r="AR20" s="2">
        <f t="shared" ref="AR20:AZ20" ca="1" si="46">MAX(0,MIN($R20,AR$11*$C20)-AQ$11*$C20)*AQ$10</f>
        <v>649.45929599999988</v>
      </c>
      <c r="AS20" s="2">
        <f t="shared" ca="1" si="46"/>
        <v>3819.5880952073276</v>
      </c>
      <c r="AT20" s="2">
        <f t="shared" ca="1" si="46"/>
        <v>0</v>
      </c>
      <c r="AU20" s="2">
        <f t="shared" ca="1" si="46"/>
        <v>0</v>
      </c>
      <c r="AV20" s="2">
        <f t="shared" ca="1" si="46"/>
        <v>0</v>
      </c>
      <c r="AW20" s="2">
        <f t="shared" ca="1" si="46"/>
        <v>0</v>
      </c>
      <c r="AX20" s="2">
        <f t="shared" ca="1" si="46"/>
        <v>0</v>
      </c>
      <c r="AY20" s="2">
        <f t="shared" ca="1" si="46"/>
        <v>0</v>
      </c>
      <c r="AZ20" s="2">
        <f t="shared" ca="1" si="46"/>
        <v>0</v>
      </c>
      <c r="BA20" s="25"/>
      <c r="BB20" s="2">
        <f t="shared" ca="1" si="20"/>
        <v>0</v>
      </c>
      <c r="BC20" s="2">
        <f t="shared" ref="BC20:BK20" ca="1" si="47">MAX(0,MIN($W20,BC$11*$C20)-BB$11*$C20)*BB$10</f>
        <v>0</v>
      </c>
      <c r="BD20" s="2">
        <f t="shared" ca="1" si="47"/>
        <v>0</v>
      </c>
      <c r="BE20" s="2">
        <f t="shared" ca="1" si="47"/>
        <v>0</v>
      </c>
      <c r="BF20" s="2">
        <f t="shared" ca="1" si="47"/>
        <v>0</v>
      </c>
      <c r="BG20" s="2">
        <f t="shared" ca="1" si="47"/>
        <v>0</v>
      </c>
      <c r="BH20" s="2">
        <f t="shared" ca="1" si="47"/>
        <v>0</v>
      </c>
      <c r="BI20" s="2">
        <f t="shared" ca="1" si="47"/>
        <v>0</v>
      </c>
      <c r="BJ20" s="2">
        <f t="shared" ca="1" si="47"/>
        <v>0</v>
      </c>
      <c r="BK20" s="2">
        <f t="shared" ca="1" si="47"/>
        <v>0</v>
      </c>
      <c r="BL20" s="25"/>
      <c r="BM20" s="145">
        <f t="shared" ca="1" si="22"/>
        <v>140988.7396902352</v>
      </c>
      <c r="BN20" s="145">
        <f t="shared" ca="1" si="23"/>
        <v>115010.3678502352</v>
      </c>
      <c r="BO20" s="145">
        <f t="shared" ca="1" si="24"/>
        <v>25978.37184</v>
      </c>
      <c r="BP20" s="145">
        <f t="shared" ca="1" si="25"/>
        <v>115010.3678502352</v>
      </c>
      <c r="BQ20" s="145">
        <f t="shared" si="26"/>
        <v>0</v>
      </c>
      <c r="BR20" s="145">
        <f t="shared" ca="1" si="40"/>
        <v>30486.169774077673</v>
      </c>
      <c r="BS20" s="145">
        <f t="shared" ca="1" si="28"/>
        <v>16336.495345771746</v>
      </c>
      <c r="BT20" s="145">
        <f t="shared" ca="1" si="29"/>
        <v>5351.3812877629352</v>
      </c>
      <c r="BU20" s="145">
        <f t="shared" ca="1" si="30"/>
        <v>0</v>
      </c>
      <c r="BV20" s="145">
        <f t="shared" ca="1" si="31"/>
        <v>8798.2931405429936</v>
      </c>
      <c r="BW20" s="146">
        <f t="shared" ca="1" si="32"/>
        <v>3</v>
      </c>
      <c r="BX20" s="146">
        <f t="shared" ca="1" si="33"/>
        <v>3</v>
      </c>
      <c r="BY20" s="146">
        <f t="shared" ca="1" si="34"/>
        <v>1</v>
      </c>
    </row>
    <row r="21" spans="1:77" x14ac:dyDescent="0.25">
      <c r="A21" s="14">
        <f t="shared" si="35"/>
        <v>5</v>
      </c>
      <c r="B21" s="14">
        <f t="shared" si="35"/>
        <v>45</v>
      </c>
      <c r="C21" s="38">
        <f t="shared" si="4"/>
        <v>1.1040808032</v>
      </c>
      <c r="D21" s="25"/>
      <c r="E21" s="74">
        <f>+SUMIFS(Income!D15:K15,Income!D$5:K$5,FALSE)</f>
        <v>147957.38712660686</v>
      </c>
      <c r="F21" s="74">
        <f ca="1">+Investments!P16</f>
        <v>2850.5309237302095</v>
      </c>
      <c r="G21" s="74">
        <f t="shared" ca="1" si="5"/>
        <v>150807.91805033706</v>
      </c>
      <c r="H21" s="5">
        <f>+SUMIFS(Income!D15:K15,Income!D$5:K$5,TRUE)</f>
        <v>0</v>
      </c>
      <c r="I21" s="5">
        <f ca="1">+Investments!Q16</f>
        <v>0</v>
      </c>
      <c r="J21" s="5">
        <f ca="1">+RealEstate!G10</f>
        <v>0</v>
      </c>
      <c r="K21" s="5">
        <f t="shared" ca="1" si="6"/>
        <v>0</v>
      </c>
      <c r="L21" s="5">
        <f t="shared" ca="1" si="7"/>
        <v>0</v>
      </c>
      <c r="M21" s="25"/>
      <c r="N21" s="77">
        <f ca="1">+Investments!N16</f>
        <v>17665.2928512</v>
      </c>
      <c r="O21" s="77">
        <f t="shared" ca="1" si="8"/>
        <v>0</v>
      </c>
      <c r="P21" s="25"/>
      <c r="Q21" s="32">
        <f t="shared" ca="1" si="41"/>
        <v>133142.62519913705</v>
      </c>
      <c r="R21" s="32">
        <f t="shared" ca="1" si="10"/>
        <v>106644.68592233706</v>
      </c>
      <c r="S21" s="32">
        <f ca="1">+AQ21+RealEstate!H10</f>
        <v>10687.026191636853</v>
      </c>
      <c r="T21" s="32">
        <f>+RealEstate!I10</f>
        <v>7763.9950576647998</v>
      </c>
      <c r="U21" s="32">
        <f t="shared" ca="1" si="11"/>
        <v>26497.9392768</v>
      </c>
      <c r="V21" s="32">
        <f t="shared" ca="1" si="36"/>
        <v>106644.68592233706</v>
      </c>
      <c r="W21" s="32">
        <f t="shared" ca="1" si="12"/>
        <v>0</v>
      </c>
      <c r="Z21" s="25"/>
      <c r="AA21" s="90">
        <f t="shared" ca="1" si="13"/>
        <v>27365.650057904189</v>
      </c>
      <c r="AB21" s="25"/>
      <c r="AC21" s="2">
        <f t="shared" ca="1" si="14"/>
        <v>14316.729610008551</v>
      </c>
      <c r="AD21" s="2">
        <f t="shared" ref="AD21:AL21" ca="1" si="48">MAX(0,MIN($V21,AD$11*$C21)-AC$11*$C21)*AC$10</f>
        <v>2141.9167582080004</v>
      </c>
      <c r="AE21" s="2">
        <f t="shared" ca="1" si="48"/>
        <v>7889.7614196672002</v>
      </c>
      <c r="AF21" s="2">
        <f t="shared" ca="1" si="48"/>
        <v>4285.0514321333512</v>
      </c>
      <c r="AG21" s="2">
        <f t="shared" ca="1" si="48"/>
        <v>0</v>
      </c>
      <c r="AH21" s="2">
        <f t="shared" ca="1" si="48"/>
        <v>0</v>
      </c>
      <c r="AI21" s="2">
        <f t="shared" ca="1" si="48"/>
        <v>0</v>
      </c>
      <c r="AJ21" s="2">
        <f t="shared" ca="1" si="48"/>
        <v>0</v>
      </c>
      <c r="AK21" s="2">
        <f t="shared" ca="1" si="48"/>
        <v>0</v>
      </c>
      <c r="AL21" s="2">
        <f t="shared" ca="1" si="48"/>
        <v>0</v>
      </c>
      <c r="AM21" s="25"/>
      <c r="AN21" s="2">
        <f t="shared" ca="1" si="16"/>
        <v>6611.970527184897</v>
      </c>
      <c r="AO21" s="2">
        <f t="shared" ca="1" si="17"/>
        <v>1546.3479458738873</v>
      </c>
      <c r="AP21" s="25"/>
      <c r="AQ21" s="2">
        <f t="shared" ca="1" si="18"/>
        <v>4890.6019748368526</v>
      </c>
      <c r="AR21" s="2">
        <f t="shared" ref="AR21:AZ21" ca="1" si="49">MAX(0,MIN($R21,AR$11*$C21)-AQ$11*$C21)*AQ$10</f>
        <v>662.44848192000006</v>
      </c>
      <c r="AS21" s="2">
        <f t="shared" ca="1" si="49"/>
        <v>4228.1534929168529</v>
      </c>
      <c r="AT21" s="2">
        <f t="shared" ca="1" si="49"/>
        <v>0</v>
      </c>
      <c r="AU21" s="2">
        <f t="shared" ca="1" si="49"/>
        <v>0</v>
      </c>
      <c r="AV21" s="2">
        <f t="shared" ca="1" si="49"/>
        <v>0</v>
      </c>
      <c r="AW21" s="2">
        <f t="shared" ca="1" si="49"/>
        <v>0</v>
      </c>
      <c r="AX21" s="2">
        <f t="shared" ca="1" si="49"/>
        <v>0</v>
      </c>
      <c r="AY21" s="2">
        <f t="shared" ca="1" si="49"/>
        <v>0</v>
      </c>
      <c r="AZ21" s="2">
        <f t="shared" ca="1" si="49"/>
        <v>0</v>
      </c>
      <c r="BA21" s="25"/>
      <c r="BB21" s="2">
        <f t="shared" ca="1" si="20"/>
        <v>0</v>
      </c>
      <c r="BC21" s="2">
        <f t="shared" ref="BC21:BK21" ca="1" si="50">MAX(0,MIN($W21,BC$11*$C21)-BB$11*$C21)*BB$10</f>
        <v>0</v>
      </c>
      <c r="BD21" s="2">
        <f t="shared" ca="1" si="50"/>
        <v>0</v>
      </c>
      <c r="BE21" s="2">
        <f t="shared" ca="1" si="50"/>
        <v>0</v>
      </c>
      <c r="BF21" s="2">
        <f t="shared" ca="1" si="50"/>
        <v>0</v>
      </c>
      <c r="BG21" s="2">
        <f t="shared" ca="1" si="50"/>
        <v>0</v>
      </c>
      <c r="BH21" s="2">
        <f t="shared" ca="1" si="50"/>
        <v>0</v>
      </c>
      <c r="BI21" s="2">
        <f t="shared" ca="1" si="50"/>
        <v>0</v>
      </c>
      <c r="BJ21" s="2">
        <f t="shared" ca="1" si="50"/>
        <v>0</v>
      </c>
      <c r="BK21" s="2">
        <f t="shared" ca="1" si="50"/>
        <v>0</v>
      </c>
      <c r="BL21" s="25"/>
      <c r="BM21" s="145">
        <f t="shared" ca="1" si="22"/>
        <v>150807.91805033706</v>
      </c>
      <c r="BN21" s="145">
        <f t="shared" ca="1" si="23"/>
        <v>124309.97877353706</v>
      </c>
      <c r="BO21" s="145">
        <f t="shared" ca="1" si="24"/>
        <v>26497.9392768</v>
      </c>
      <c r="BP21" s="145">
        <f t="shared" ca="1" si="25"/>
        <v>124309.97877353706</v>
      </c>
      <c r="BQ21" s="145">
        <f t="shared" ca="1" si="26"/>
        <v>0</v>
      </c>
      <c r="BR21" s="145">
        <f t="shared" ca="1" si="40"/>
        <v>33556.183523112675</v>
      </c>
      <c r="BS21" s="145">
        <f t="shared" ca="1" si="28"/>
        <v>18203.094037272553</v>
      </c>
      <c r="BT21" s="145">
        <f t="shared" ca="1" si="29"/>
        <v>5843.3761096645376</v>
      </c>
      <c r="BU21" s="145">
        <f t="shared" ca="1" si="30"/>
        <v>0</v>
      </c>
      <c r="BV21" s="145">
        <f t="shared" ca="1" si="31"/>
        <v>9509.7133761755849</v>
      </c>
      <c r="BW21" s="146">
        <f t="shared" ca="1" si="32"/>
        <v>3</v>
      </c>
      <c r="BX21" s="146">
        <f t="shared" ca="1" si="33"/>
        <v>3</v>
      </c>
      <c r="BY21" s="146">
        <f t="shared" ca="1" si="34"/>
        <v>1</v>
      </c>
    </row>
    <row r="22" spans="1:77" x14ac:dyDescent="0.25">
      <c r="A22" s="14">
        <f t="shared" si="35"/>
        <v>6</v>
      </c>
      <c r="B22" s="14">
        <f t="shared" si="35"/>
        <v>46</v>
      </c>
      <c r="C22" s="38">
        <f t="shared" si="4"/>
        <v>1.1261624192640001</v>
      </c>
      <c r="D22" s="25"/>
      <c r="E22" s="74">
        <f>+SUMIFS(Income!D16:K16,Income!D$5:K$5,FALSE)</f>
        <v>158462.36161259594</v>
      </c>
      <c r="F22" s="74" t="str">
        <f ca="1">+Investments!P17</f>
        <v>EXPIRED</v>
      </c>
      <c r="G22" s="74" t="e">
        <f t="shared" ca="1" si="5"/>
        <v>#VALUE!</v>
      </c>
      <c r="H22" s="5">
        <f>+SUMIFS(Income!D16:K16,Income!D$5:K$5,TRUE)</f>
        <v>0</v>
      </c>
      <c r="I22" s="5" t="str">
        <f ca="1">+Investments!Q17</f>
        <v>EXPIRED</v>
      </c>
      <c r="J22" s="5">
        <f ca="1">+RealEstate!G11</f>
        <v>0</v>
      </c>
      <c r="K22" s="5">
        <f t="shared" ca="1" si="6"/>
        <v>0</v>
      </c>
      <c r="L22" s="5">
        <f t="shared" ca="1" si="7"/>
        <v>0</v>
      </c>
      <c r="M22" s="25"/>
      <c r="N22" s="77" t="str">
        <f ca="1">+Investments!N17</f>
        <v>EXPIRED</v>
      </c>
      <c r="O22" s="77">
        <f t="shared" ca="1" si="8"/>
        <v>0</v>
      </c>
      <c r="P22" s="25"/>
      <c r="Q22" s="32" t="e">
        <f t="shared" ca="1" si="41"/>
        <v>#VALUE!</v>
      </c>
      <c r="R22" s="32" t="e">
        <f t="shared" ca="1" si="10"/>
        <v>#VALUE!</v>
      </c>
      <c r="S22" s="32" t="e">
        <f ca="1">+AQ22+RealEstate!H11</f>
        <v>#VALUE!</v>
      </c>
      <c r="T22" s="32">
        <f ca="1">+RealEstate!I11</f>
        <v>0</v>
      </c>
      <c r="U22" s="32" t="e">
        <f t="shared" ca="1" si="11"/>
        <v>#VALUE!</v>
      </c>
      <c r="V22" s="32" t="e">
        <f t="shared" ca="1" si="36"/>
        <v>#VALUE!</v>
      </c>
      <c r="W22" s="32">
        <f t="shared" ca="1" si="12"/>
        <v>0</v>
      </c>
      <c r="Z22" s="25"/>
      <c r="AA22" s="90" t="e">
        <f t="shared" ca="1" si="13"/>
        <v>#VALUE!</v>
      </c>
      <c r="AB22" s="25"/>
      <c r="AC22" s="2" t="e">
        <f t="shared" ca="1" si="14"/>
        <v>#VALUE!</v>
      </c>
      <c r="AD22" s="2" t="e">
        <f t="shared" ref="AD22:AL22" ca="1" si="51">MAX(0,MIN($V22,AD$11*$C22)-AC$11*$C22)*AC$10</f>
        <v>#VALUE!</v>
      </c>
      <c r="AE22" s="2" t="e">
        <f t="shared" ca="1" si="51"/>
        <v>#VALUE!</v>
      </c>
      <c r="AF22" s="2" t="e">
        <f t="shared" ca="1" si="51"/>
        <v>#VALUE!</v>
      </c>
      <c r="AG22" s="2" t="e">
        <f t="shared" ca="1" si="51"/>
        <v>#VALUE!</v>
      </c>
      <c r="AH22" s="2" t="e">
        <f t="shared" ca="1" si="51"/>
        <v>#VALUE!</v>
      </c>
      <c r="AI22" s="2" t="e">
        <f t="shared" ca="1" si="51"/>
        <v>#VALUE!</v>
      </c>
      <c r="AJ22" s="2" t="e">
        <f t="shared" ca="1" si="51"/>
        <v>#VALUE!</v>
      </c>
      <c r="AK22" s="2" t="e">
        <f t="shared" ca="1" si="51"/>
        <v>#VALUE!</v>
      </c>
      <c r="AL22" s="2" t="e">
        <f t="shared" ca="1" si="51"/>
        <v>#VALUE!</v>
      </c>
      <c r="AM22" s="25"/>
      <c r="AN22" s="2" t="e">
        <f t="shared" ca="1" si="16"/>
        <v>#VALUE!</v>
      </c>
      <c r="AO22" s="2" t="e">
        <f t="shared" ca="1" si="17"/>
        <v>#VALUE!</v>
      </c>
      <c r="AP22" s="25"/>
      <c r="AQ22" s="2" t="e">
        <f t="shared" ca="1" si="18"/>
        <v>#VALUE!</v>
      </c>
      <c r="AR22" s="2" t="e">
        <f t="shared" ref="AR22:AZ22" ca="1" si="52">MAX(0,MIN($R22,AR$11*$C22)-AQ$11*$C22)*AQ$10</f>
        <v>#VALUE!</v>
      </c>
      <c r="AS22" s="2" t="e">
        <f t="shared" ca="1" si="52"/>
        <v>#VALUE!</v>
      </c>
      <c r="AT22" s="2" t="e">
        <f t="shared" ca="1" si="52"/>
        <v>#VALUE!</v>
      </c>
      <c r="AU22" s="2" t="e">
        <f t="shared" ca="1" si="52"/>
        <v>#VALUE!</v>
      </c>
      <c r="AV22" s="2" t="e">
        <f t="shared" ca="1" si="52"/>
        <v>#VALUE!</v>
      </c>
      <c r="AW22" s="2" t="e">
        <f t="shared" ca="1" si="52"/>
        <v>#VALUE!</v>
      </c>
      <c r="AX22" s="2" t="e">
        <f t="shared" ca="1" si="52"/>
        <v>#VALUE!</v>
      </c>
      <c r="AY22" s="2" t="e">
        <f t="shared" ca="1" si="52"/>
        <v>#VALUE!</v>
      </c>
      <c r="AZ22" s="2" t="e">
        <f t="shared" ca="1" si="52"/>
        <v>#VALUE!</v>
      </c>
      <c r="BA22" s="25"/>
      <c r="BB22" s="2">
        <f t="shared" ca="1" si="20"/>
        <v>0</v>
      </c>
      <c r="BC22" s="2">
        <f t="shared" ref="BC22:BK22" ca="1" si="53">MAX(0,MIN($W22,BC$11*$C22)-BB$11*$C22)*BB$10</f>
        <v>0</v>
      </c>
      <c r="BD22" s="2">
        <f t="shared" ca="1" si="53"/>
        <v>0</v>
      </c>
      <c r="BE22" s="2">
        <f t="shared" ca="1" si="53"/>
        <v>0</v>
      </c>
      <c r="BF22" s="2">
        <f t="shared" ca="1" si="53"/>
        <v>0</v>
      </c>
      <c r="BG22" s="2">
        <f t="shared" ca="1" si="53"/>
        <v>0</v>
      </c>
      <c r="BH22" s="2">
        <f t="shared" ca="1" si="53"/>
        <v>0</v>
      </c>
      <c r="BI22" s="2">
        <f t="shared" ca="1" si="53"/>
        <v>0</v>
      </c>
      <c r="BJ22" s="2">
        <f t="shared" ca="1" si="53"/>
        <v>0</v>
      </c>
      <c r="BK22" s="2">
        <f t="shared" ca="1" si="53"/>
        <v>0</v>
      </c>
      <c r="BL22" s="25"/>
      <c r="BM22" s="145" t="e">
        <f t="shared" ca="1" si="22"/>
        <v>#VALUE!</v>
      </c>
      <c r="BN22" s="145" t="e">
        <f t="shared" ca="1" si="23"/>
        <v>#VALUE!</v>
      </c>
      <c r="BO22" s="145" t="e">
        <f t="shared" ca="1" si="24"/>
        <v>#VALUE!</v>
      </c>
      <c r="BP22" s="145" t="e">
        <f t="shared" ca="1" si="25"/>
        <v>#VALUE!</v>
      </c>
      <c r="BQ22" s="145">
        <f t="shared" ca="1" si="26"/>
        <v>0</v>
      </c>
      <c r="BR22" s="145" t="e">
        <f t="shared" ca="1" si="40"/>
        <v>#VALUE!</v>
      </c>
      <c r="BS22" s="145" t="e">
        <f t="shared" ca="1" si="28"/>
        <v>#VALUE!</v>
      </c>
      <c r="BT22" s="145" t="e">
        <f t="shared" ca="1" si="29"/>
        <v>#VALUE!</v>
      </c>
      <c r="BU22" s="145" t="e">
        <f t="shared" ca="1" si="30"/>
        <v>#VALUE!</v>
      </c>
      <c r="BV22" s="145" t="e">
        <f t="shared" ca="1" si="31"/>
        <v>#VALUE!</v>
      </c>
      <c r="BW22" s="146" t="e">
        <f t="shared" ca="1" si="32"/>
        <v>#VALUE!</v>
      </c>
      <c r="BX22" s="146" t="e">
        <f t="shared" ca="1" si="33"/>
        <v>#VALUE!</v>
      </c>
      <c r="BY22" s="146" t="e">
        <f t="shared" ca="1" si="34"/>
        <v>#VALUE!</v>
      </c>
    </row>
    <row r="23" spans="1:77" x14ac:dyDescent="0.25">
      <c r="A23" s="14">
        <f t="shared" si="35"/>
        <v>7</v>
      </c>
      <c r="B23" s="14">
        <f t="shared" si="35"/>
        <v>47</v>
      </c>
      <c r="C23" s="38">
        <f t="shared" si="4"/>
        <v>1.1486856676492798</v>
      </c>
      <c r="D23" s="25"/>
      <c r="E23" s="74">
        <f>+SUMIFS(Income!D17:K17,Income!D$5:K$5,FALSE)</f>
        <v>169713.18928709027</v>
      </c>
      <c r="F23" s="74" t="str">
        <f ca="1">+Investments!P18</f>
        <v>EXPIRED</v>
      </c>
      <c r="G23" s="74" t="e">
        <f t="shared" ca="1" si="5"/>
        <v>#VALUE!</v>
      </c>
      <c r="H23" s="5">
        <f>+SUMIFS(Income!D17:K17,Income!D$5:K$5,TRUE)</f>
        <v>0</v>
      </c>
      <c r="I23" s="5" t="str">
        <f ca="1">+Investments!Q18</f>
        <v>EXPIRED</v>
      </c>
      <c r="J23" s="5">
        <f ca="1">+RealEstate!G12</f>
        <v>0</v>
      </c>
      <c r="K23" s="5">
        <f t="shared" ca="1" si="6"/>
        <v>0</v>
      </c>
      <c r="L23" s="5">
        <f t="shared" ca="1" si="7"/>
        <v>0</v>
      </c>
      <c r="M23" s="25"/>
      <c r="N23" s="77" t="str">
        <f ca="1">+Investments!N18</f>
        <v>EXPIRED</v>
      </c>
      <c r="O23" s="77">
        <f t="shared" ca="1" si="8"/>
        <v>0</v>
      </c>
      <c r="P23" s="25"/>
      <c r="Q23" s="32" t="e">
        <f t="shared" ca="1" si="41"/>
        <v>#VALUE!</v>
      </c>
      <c r="R23" s="32" t="e">
        <f t="shared" ca="1" si="10"/>
        <v>#VALUE!</v>
      </c>
      <c r="S23" s="32" t="e">
        <f ca="1">+AQ23+RealEstate!H12</f>
        <v>#VALUE!</v>
      </c>
      <c r="T23" s="32">
        <f ca="1">+RealEstate!I12</f>
        <v>0</v>
      </c>
      <c r="U23" s="32" t="e">
        <f t="shared" ca="1" si="11"/>
        <v>#VALUE!</v>
      </c>
      <c r="V23" s="32" t="e">
        <f t="shared" ca="1" si="36"/>
        <v>#VALUE!</v>
      </c>
      <c r="W23" s="32">
        <f t="shared" ca="1" si="12"/>
        <v>0</v>
      </c>
      <c r="Z23" s="25"/>
      <c r="AA23" s="90" t="e">
        <f ca="1">+AC23+AN23+AO23+AQ23+BB23-O23</f>
        <v>#VALUE!</v>
      </c>
      <c r="AB23" s="25"/>
      <c r="AC23" s="2" t="e">
        <f t="shared" ca="1" si="14"/>
        <v>#VALUE!</v>
      </c>
      <c r="AD23" s="2" t="e">
        <f t="shared" ref="AD23:AL23" ca="1" si="54">MAX(0,MIN($V23,AD$11*$C23)-AC$11*$C23)*AC$10</f>
        <v>#VALUE!</v>
      </c>
      <c r="AE23" s="2" t="e">
        <f t="shared" ca="1" si="54"/>
        <v>#VALUE!</v>
      </c>
      <c r="AF23" s="2" t="e">
        <f t="shared" ca="1" si="54"/>
        <v>#VALUE!</v>
      </c>
      <c r="AG23" s="2" t="e">
        <f t="shared" ca="1" si="54"/>
        <v>#VALUE!</v>
      </c>
      <c r="AH23" s="2" t="e">
        <f t="shared" ca="1" si="54"/>
        <v>#VALUE!</v>
      </c>
      <c r="AI23" s="2" t="e">
        <f t="shared" ca="1" si="54"/>
        <v>#VALUE!</v>
      </c>
      <c r="AJ23" s="2" t="e">
        <f t="shared" ca="1" si="54"/>
        <v>#VALUE!</v>
      </c>
      <c r="AK23" s="2" t="e">
        <f t="shared" ca="1" si="54"/>
        <v>#VALUE!</v>
      </c>
      <c r="AL23" s="2" t="e">
        <f t="shared" ca="1" si="54"/>
        <v>#VALUE!</v>
      </c>
      <c r="AM23" s="25"/>
      <c r="AN23" s="2" t="e">
        <f t="shared" ca="1" si="16"/>
        <v>#VALUE!</v>
      </c>
      <c r="AO23" s="2" t="e">
        <f t="shared" ca="1" si="17"/>
        <v>#VALUE!</v>
      </c>
      <c r="AP23" s="25"/>
      <c r="AQ23" s="2" t="e">
        <f t="shared" ca="1" si="18"/>
        <v>#VALUE!</v>
      </c>
      <c r="AR23" s="2" t="e">
        <f t="shared" ref="AR23:AZ23" ca="1" si="55">MAX(0,MIN($R23,AR$11*$C23)-AQ$11*$C23)*AQ$10</f>
        <v>#VALUE!</v>
      </c>
      <c r="AS23" s="2" t="e">
        <f t="shared" ca="1" si="55"/>
        <v>#VALUE!</v>
      </c>
      <c r="AT23" s="2" t="e">
        <f t="shared" ca="1" si="55"/>
        <v>#VALUE!</v>
      </c>
      <c r="AU23" s="2" t="e">
        <f t="shared" ca="1" si="55"/>
        <v>#VALUE!</v>
      </c>
      <c r="AV23" s="2" t="e">
        <f t="shared" ca="1" si="55"/>
        <v>#VALUE!</v>
      </c>
      <c r="AW23" s="2" t="e">
        <f t="shared" ca="1" si="55"/>
        <v>#VALUE!</v>
      </c>
      <c r="AX23" s="2" t="e">
        <f t="shared" ca="1" si="55"/>
        <v>#VALUE!</v>
      </c>
      <c r="AY23" s="2" t="e">
        <f t="shared" ca="1" si="55"/>
        <v>#VALUE!</v>
      </c>
      <c r="AZ23" s="2" t="e">
        <f t="shared" ca="1" si="55"/>
        <v>#VALUE!</v>
      </c>
      <c r="BA23" s="25"/>
      <c r="BB23" s="2">
        <f t="shared" ca="1" si="20"/>
        <v>0</v>
      </c>
      <c r="BC23" s="2">
        <f t="shared" ref="BC23:BK23" ca="1" si="56">MAX(0,MIN($W23,BC$11*$C23)-BB$11*$C23)*BB$10</f>
        <v>0</v>
      </c>
      <c r="BD23" s="2">
        <f t="shared" ca="1" si="56"/>
        <v>0</v>
      </c>
      <c r="BE23" s="2">
        <f t="shared" ca="1" si="56"/>
        <v>0</v>
      </c>
      <c r="BF23" s="2">
        <f t="shared" ca="1" si="56"/>
        <v>0</v>
      </c>
      <c r="BG23" s="2">
        <f t="shared" ca="1" si="56"/>
        <v>0</v>
      </c>
      <c r="BH23" s="2">
        <f t="shared" ca="1" si="56"/>
        <v>0</v>
      </c>
      <c r="BI23" s="2">
        <f t="shared" ca="1" si="56"/>
        <v>0</v>
      </c>
      <c r="BJ23" s="2">
        <f t="shared" ca="1" si="56"/>
        <v>0</v>
      </c>
      <c r="BK23" s="2">
        <f t="shared" ca="1" si="56"/>
        <v>0</v>
      </c>
      <c r="BL23" s="25"/>
      <c r="BM23" s="145" t="e">
        <f t="shared" ca="1" si="22"/>
        <v>#VALUE!</v>
      </c>
      <c r="BN23" s="145" t="e">
        <f t="shared" ca="1" si="23"/>
        <v>#VALUE!</v>
      </c>
      <c r="BO23" s="145" t="e">
        <f t="shared" ca="1" si="24"/>
        <v>#VALUE!</v>
      </c>
      <c r="BP23" s="145" t="e">
        <f t="shared" ca="1" si="25"/>
        <v>#VALUE!</v>
      </c>
      <c r="BQ23" s="145">
        <f t="shared" ca="1" si="26"/>
        <v>0</v>
      </c>
      <c r="BR23" s="145" t="e">
        <f t="shared" ca="1" si="40"/>
        <v>#VALUE!</v>
      </c>
      <c r="BS23" s="145" t="e">
        <f t="shared" ca="1" si="28"/>
        <v>#VALUE!</v>
      </c>
      <c r="BT23" s="145" t="e">
        <f t="shared" ca="1" si="29"/>
        <v>#VALUE!</v>
      </c>
      <c r="BU23" s="145" t="e">
        <f t="shared" ca="1" si="30"/>
        <v>#VALUE!</v>
      </c>
      <c r="BV23" s="145" t="e">
        <f t="shared" ca="1" si="31"/>
        <v>#VALUE!</v>
      </c>
      <c r="BW23" s="146" t="e">
        <f t="shared" ca="1" si="32"/>
        <v>#VALUE!</v>
      </c>
      <c r="BX23" s="146" t="e">
        <f t="shared" ca="1" si="33"/>
        <v>#VALUE!</v>
      </c>
      <c r="BY23" s="146" t="e">
        <f t="shared" ca="1" si="34"/>
        <v>#VALUE!</v>
      </c>
    </row>
    <row r="24" spans="1:77" x14ac:dyDescent="0.25">
      <c r="A24" s="14">
        <f t="shared" si="35"/>
        <v>8</v>
      </c>
      <c r="B24" s="14">
        <f t="shared" si="35"/>
        <v>48</v>
      </c>
      <c r="C24" s="38">
        <f t="shared" si="4"/>
        <v>1.1716593810022655</v>
      </c>
      <c r="D24" s="25"/>
      <c r="E24" s="74">
        <f>+SUMIFS(Income!D18:K18,Income!D$5:K$5,FALSE)</f>
        <v>181762.82572647365</v>
      </c>
      <c r="F24" s="74" t="str">
        <f ca="1">+Investments!P19</f>
        <v>EXPIRED</v>
      </c>
      <c r="G24" s="74" t="e">
        <f t="shared" ca="1" si="5"/>
        <v>#VALUE!</v>
      </c>
      <c r="H24" s="5">
        <f>+SUMIFS(Income!D18:K18,Income!D$5:K$5,TRUE)</f>
        <v>0</v>
      </c>
      <c r="I24" s="5" t="str">
        <f ca="1">+Investments!Q19</f>
        <v>EXPIRED</v>
      </c>
      <c r="J24" s="5">
        <f ca="1">+RealEstate!G13</f>
        <v>0</v>
      </c>
      <c r="K24" s="5">
        <f t="shared" ca="1" si="6"/>
        <v>0</v>
      </c>
      <c r="L24" s="5">
        <f t="shared" ca="1" si="7"/>
        <v>0</v>
      </c>
      <c r="M24" s="25"/>
      <c r="N24" s="77" t="str">
        <f ca="1">+Investments!N19</f>
        <v>EXPIRED</v>
      </c>
      <c r="O24" s="77">
        <f t="shared" ca="1" si="8"/>
        <v>0</v>
      </c>
      <c r="P24" s="25"/>
      <c r="Q24" s="32" t="e">
        <f t="shared" ca="1" si="41"/>
        <v>#VALUE!</v>
      </c>
      <c r="R24" s="32" t="e">
        <f t="shared" ca="1" si="10"/>
        <v>#VALUE!</v>
      </c>
      <c r="S24" s="32" t="e">
        <f ca="1">+AQ24+RealEstate!H13</f>
        <v>#VALUE!</v>
      </c>
      <c r="T24" s="32">
        <f ca="1">+RealEstate!I13</f>
        <v>0</v>
      </c>
      <c r="U24" s="32" t="e">
        <f t="shared" ca="1" si="11"/>
        <v>#VALUE!</v>
      </c>
      <c r="V24" s="32" t="e">
        <f t="shared" ca="1" si="36"/>
        <v>#VALUE!</v>
      </c>
      <c r="W24" s="32">
        <f t="shared" ca="1" si="12"/>
        <v>0</v>
      </c>
      <c r="Z24" s="25"/>
      <c r="AA24" s="90" t="e">
        <f t="shared" ref="AA24:AA87" ca="1" si="57">+AC24+AN24+AO24+AQ24+BB24-O24</f>
        <v>#VALUE!</v>
      </c>
      <c r="AB24" s="25"/>
      <c r="AC24" s="2" t="e">
        <f t="shared" ca="1" si="14"/>
        <v>#VALUE!</v>
      </c>
      <c r="AD24" s="2" t="e">
        <f t="shared" ref="AD24:AL24" ca="1" si="58">MAX(0,MIN($V24,AD$11*$C24)-AC$11*$C24)*AC$10</f>
        <v>#VALUE!</v>
      </c>
      <c r="AE24" s="2" t="e">
        <f t="shared" ca="1" si="58"/>
        <v>#VALUE!</v>
      </c>
      <c r="AF24" s="2" t="e">
        <f t="shared" ca="1" si="58"/>
        <v>#VALUE!</v>
      </c>
      <c r="AG24" s="2" t="e">
        <f t="shared" ca="1" si="58"/>
        <v>#VALUE!</v>
      </c>
      <c r="AH24" s="2" t="e">
        <f t="shared" ca="1" si="58"/>
        <v>#VALUE!</v>
      </c>
      <c r="AI24" s="2" t="e">
        <f t="shared" ca="1" si="58"/>
        <v>#VALUE!</v>
      </c>
      <c r="AJ24" s="2" t="e">
        <f t="shared" ca="1" si="58"/>
        <v>#VALUE!</v>
      </c>
      <c r="AK24" s="2" t="e">
        <f t="shared" ca="1" si="58"/>
        <v>#VALUE!</v>
      </c>
      <c r="AL24" s="2" t="e">
        <f t="shared" ca="1" si="58"/>
        <v>#VALUE!</v>
      </c>
      <c r="AM24" s="25"/>
      <c r="AN24" s="2" t="e">
        <f t="shared" ca="1" si="16"/>
        <v>#VALUE!</v>
      </c>
      <c r="AO24" s="2" t="e">
        <f t="shared" ca="1" si="17"/>
        <v>#VALUE!</v>
      </c>
      <c r="AP24" s="25"/>
      <c r="AQ24" s="2" t="e">
        <f t="shared" ca="1" si="18"/>
        <v>#VALUE!</v>
      </c>
      <c r="AR24" s="2" t="e">
        <f t="shared" ref="AR24:AZ24" ca="1" si="59">MAX(0,MIN($R24,AR$11*$C24)-AQ$11*$C24)*AQ$10</f>
        <v>#VALUE!</v>
      </c>
      <c r="AS24" s="2" t="e">
        <f t="shared" ca="1" si="59"/>
        <v>#VALUE!</v>
      </c>
      <c r="AT24" s="2" t="e">
        <f t="shared" ca="1" si="59"/>
        <v>#VALUE!</v>
      </c>
      <c r="AU24" s="2" t="e">
        <f t="shared" ca="1" si="59"/>
        <v>#VALUE!</v>
      </c>
      <c r="AV24" s="2" t="e">
        <f t="shared" ca="1" si="59"/>
        <v>#VALUE!</v>
      </c>
      <c r="AW24" s="2" t="e">
        <f t="shared" ca="1" si="59"/>
        <v>#VALUE!</v>
      </c>
      <c r="AX24" s="2" t="e">
        <f t="shared" ca="1" si="59"/>
        <v>#VALUE!</v>
      </c>
      <c r="AY24" s="2" t="e">
        <f t="shared" ca="1" si="59"/>
        <v>#VALUE!</v>
      </c>
      <c r="AZ24" s="2" t="e">
        <f t="shared" ca="1" si="59"/>
        <v>#VALUE!</v>
      </c>
      <c r="BA24" s="25"/>
      <c r="BB24" s="2">
        <f t="shared" ca="1" si="20"/>
        <v>0</v>
      </c>
      <c r="BC24" s="2">
        <f t="shared" ref="BC24:BK24" ca="1" si="60">MAX(0,MIN($W24,BC$11*$C24)-BB$11*$C24)*BB$10</f>
        <v>0</v>
      </c>
      <c r="BD24" s="2">
        <f t="shared" ca="1" si="60"/>
        <v>0</v>
      </c>
      <c r="BE24" s="2">
        <f t="shared" ca="1" si="60"/>
        <v>0</v>
      </c>
      <c r="BF24" s="2">
        <f t="shared" ca="1" si="60"/>
        <v>0</v>
      </c>
      <c r="BG24" s="2">
        <f t="shared" ca="1" si="60"/>
        <v>0</v>
      </c>
      <c r="BH24" s="2">
        <f t="shared" ca="1" si="60"/>
        <v>0</v>
      </c>
      <c r="BI24" s="2">
        <f t="shared" ca="1" si="60"/>
        <v>0</v>
      </c>
      <c r="BJ24" s="2">
        <f t="shared" ca="1" si="60"/>
        <v>0</v>
      </c>
      <c r="BK24" s="2">
        <f t="shared" ca="1" si="60"/>
        <v>0</v>
      </c>
      <c r="BL24" s="25"/>
      <c r="BM24" s="145" t="e">
        <f t="shared" ca="1" si="22"/>
        <v>#VALUE!</v>
      </c>
      <c r="BN24" s="145" t="e">
        <f t="shared" ca="1" si="23"/>
        <v>#VALUE!</v>
      </c>
      <c r="BO24" s="145" t="e">
        <f t="shared" ca="1" si="24"/>
        <v>#VALUE!</v>
      </c>
      <c r="BP24" s="145" t="e">
        <f t="shared" ca="1" si="25"/>
        <v>#VALUE!</v>
      </c>
      <c r="BQ24" s="145">
        <f t="shared" ca="1" si="26"/>
        <v>0</v>
      </c>
      <c r="BR24" s="145" t="e">
        <f t="shared" ca="1" si="40"/>
        <v>#VALUE!</v>
      </c>
      <c r="BS24" s="145" t="e">
        <f t="shared" ca="1" si="28"/>
        <v>#VALUE!</v>
      </c>
      <c r="BT24" s="145" t="e">
        <f t="shared" ca="1" si="29"/>
        <v>#VALUE!</v>
      </c>
      <c r="BU24" s="145" t="e">
        <f t="shared" ca="1" si="30"/>
        <v>#VALUE!</v>
      </c>
      <c r="BV24" s="145" t="e">
        <f t="shared" ca="1" si="31"/>
        <v>#VALUE!</v>
      </c>
      <c r="BW24" s="146" t="e">
        <f t="shared" ca="1" si="32"/>
        <v>#VALUE!</v>
      </c>
      <c r="BX24" s="146" t="e">
        <f t="shared" ca="1" si="33"/>
        <v>#VALUE!</v>
      </c>
      <c r="BY24" s="146" t="e">
        <f t="shared" ca="1" si="34"/>
        <v>#VALUE!</v>
      </c>
    </row>
    <row r="25" spans="1:77" x14ac:dyDescent="0.25">
      <c r="A25" s="14">
        <f t="shared" si="35"/>
        <v>9</v>
      </c>
      <c r="B25" s="14">
        <f t="shared" si="35"/>
        <v>49</v>
      </c>
      <c r="C25" s="38">
        <f t="shared" si="4"/>
        <v>1.1950925686223108</v>
      </c>
      <c r="D25" s="25"/>
      <c r="E25" s="74">
        <f>+SUMIFS(Income!D19:K19,Income!D$5:K$5,FALSE)</f>
        <v>188533.78940539679</v>
      </c>
      <c r="F25" s="74" t="str">
        <f ca="1">+Investments!P20</f>
        <v>EXPIRED</v>
      </c>
      <c r="G25" s="74" t="e">
        <f t="shared" ca="1" si="5"/>
        <v>#VALUE!</v>
      </c>
      <c r="H25" s="5">
        <f>+SUMIFS(Income!D19:K19,Income!D$5:K$5,TRUE)</f>
        <v>0</v>
      </c>
      <c r="I25" s="5" t="str">
        <f ca="1">+Investments!Q20</f>
        <v>EXPIRED</v>
      </c>
      <c r="J25" s="5">
        <f ca="1">+RealEstate!G14</f>
        <v>0</v>
      </c>
      <c r="K25" s="5">
        <f t="shared" ca="1" si="6"/>
        <v>0</v>
      </c>
      <c r="L25" s="5">
        <f t="shared" ca="1" si="7"/>
        <v>0</v>
      </c>
      <c r="M25" s="25"/>
      <c r="N25" s="77" t="str">
        <f ca="1">+Investments!N20</f>
        <v>EXPIRED</v>
      </c>
      <c r="O25" s="77">
        <f t="shared" ca="1" si="8"/>
        <v>0</v>
      </c>
      <c r="P25" s="25"/>
      <c r="Q25" s="32" t="e">
        <f t="shared" ca="1" si="41"/>
        <v>#VALUE!</v>
      </c>
      <c r="R25" s="32" t="e">
        <f t="shared" ca="1" si="10"/>
        <v>#VALUE!</v>
      </c>
      <c r="S25" s="32" t="e">
        <f ca="1">+AQ25+RealEstate!H14</f>
        <v>#VALUE!</v>
      </c>
      <c r="T25" s="32">
        <f ca="1">+RealEstate!I14</f>
        <v>0</v>
      </c>
      <c r="U25" s="32" t="e">
        <f t="shared" ca="1" si="11"/>
        <v>#VALUE!</v>
      </c>
      <c r="V25" s="32" t="e">
        <f t="shared" ca="1" si="36"/>
        <v>#VALUE!</v>
      </c>
      <c r="W25" s="32">
        <f t="shared" ca="1" si="12"/>
        <v>0</v>
      </c>
      <c r="Z25" s="25"/>
      <c r="AA25" s="90" t="e">
        <f t="shared" ca="1" si="57"/>
        <v>#VALUE!</v>
      </c>
      <c r="AB25" s="25"/>
      <c r="AC25" s="2" t="e">
        <f t="shared" ca="1" si="14"/>
        <v>#VALUE!</v>
      </c>
      <c r="AD25" s="2" t="e">
        <f t="shared" ref="AD25:AL25" ca="1" si="61">MAX(0,MIN($V25,AD$11*$C25)-AC$11*$C25)*AC$10</f>
        <v>#VALUE!</v>
      </c>
      <c r="AE25" s="2" t="e">
        <f t="shared" ca="1" si="61"/>
        <v>#VALUE!</v>
      </c>
      <c r="AF25" s="2" t="e">
        <f t="shared" ca="1" si="61"/>
        <v>#VALUE!</v>
      </c>
      <c r="AG25" s="2" t="e">
        <f t="shared" ca="1" si="61"/>
        <v>#VALUE!</v>
      </c>
      <c r="AH25" s="2" t="e">
        <f t="shared" ca="1" si="61"/>
        <v>#VALUE!</v>
      </c>
      <c r="AI25" s="2" t="e">
        <f t="shared" ca="1" si="61"/>
        <v>#VALUE!</v>
      </c>
      <c r="AJ25" s="2" t="e">
        <f t="shared" ca="1" si="61"/>
        <v>#VALUE!</v>
      </c>
      <c r="AK25" s="2" t="e">
        <f t="shared" ca="1" si="61"/>
        <v>#VALUE!</v>
      </c>
      <c r="AL25" s="2" t="e">
        <f t="shared" ca="1" si="61"/>
        <v>#VALUE!</v>
      </c>
      <c r="AM25" s="25"/>
      <c r="AN25" s="2" t="e">
        <f t="shared" ca="1" si="16"/>
        <v>#VALUE!</v>
      </c>
      <c r="AO25" s="2" t="e">
        <f t="shared" ca="1" si="17"/>
        <v>#VALUE!</v>
      </c>
      <c r="AP25" s="25"/>
      <c r="AQ25" s="2" t="e">
        <f t="shared" ca="1" si="18"/>
        <v>#VALUE!</v>
      </c>
      <c r="AR25" s="2" t="e">
        <f t="shared" ref="AR25:AZ25" ca="1" si="62">MAX(0,MIN($R25,AR$11*$C25)-AQ$11*$C25)*AQ$10</f>
        <v>#VALUE!</v>
      </c>
      <c r="AS25" s="2" t="e">
        <f t="shared" ca="1" si="62"/>
        <v>#VALUE!</v>
      </c>
      <c r="AT25" s="2" t="e">
        <f t="shared" ca="1" si="62"/>
        <v>#VALUE!</v>
      </c>
      <c r="AU25" s="2" t="e">
        <f t="shared" ca="1" si="62"/>
        <v>#VALUE!</v>
      </c>
      <c r="AV25" s="2" t="e">
        <f t="shared" ca="1" si="62"/>
        <v>#VALUE!</v>
      </c>
      <c r="AW25" s="2" t="e">
        <f t="shared" ca="1" si="62"/>
        <v>#VALUE!</v>
      </c>
      <c r="AX25" s="2" t="e">
        <f t="shared" ca="1" si="62"/>
        <v>#VALUE!</v>
      </c>
      <c r="AY25" s="2" t="e">
        <f t="shared" ca="1" si="62"/>
        <v>#VALUE!</v>
      </c>
      <c r="AZ25" s="2" t="e">
        <f t="shared" ca="1" si="62"/>
        <v>#VALUE!</v>
      </c>
      <c r="BA25" s="25"/>
      <c r="BB25" s="2">
        <f t="shared" ca="1" si="20"/>
        <v>0</v>
      </c>
      <c r="BC25" s="2">
        <f t="shared" ref="BC25:BK25" ca="1" si="63">MAX(0,MIN($W25,BC$11*$C25)-BB$11*$C25)*BB$10</f>
        <v>0</v>
      </c>
      <c r="BD25" s="2">
        <f t="shared" ca="1" si="63"/>
        <v>0</v>
      </c>
      <c r="BE25" s="2">
        <f t="shared" ca="1" si="63"/>
        <v>0</v>
      </c>
      <c r="BF25" s="2">
        <f t="shared" ca="1" si="63"/>
        <v>0</v>
      </c>
      <c r="BG25" s="2">
        <f t="shared" ca="1" si="63"/>
        <v>0</v>
      </c>
      <c r="BH25" s="2">
        <f t="shared" ca="1" si="63"/>
        <v>0</v>
      </c>
      <c r="BI25" s="2">
        <f t="shared" ca="1" si="63"/>
        <v>0</v>
      </c>
      <c r="BJ25" s="2">
        <f t="shared" ca="1" si="63"/>
        <v>0</v>
      </c>
      <c r="BK25" s="2">
        <f t="shared" ca="1" si="63"/>
        <v>0</v>
      </c>
      <c r="BL25" s="25"/>
      <c r="BM25" s="145" t="e">
        <f t="shared" ca="1" si="22"/>
        <v>#VALUE!</v>
      </c>
      <c r="BN25" s="145" t="e">
        <f t="shared" ca="1" si="23"/>
        <v>#VALUE!</v>
      </c>
      <c r="BO25" s="145" t="e">
        <f t="shared" ca="1" si="24"/>
        <v>#VALUE!</v>
      </c>
      <c r="BP25" s="145" t="e">
        <f t="shared" ca="1" si="25"/>
        <v>#VALUE!</v>
      </c>
      <c r="BQ25" s="145">
        <f t="shared" ca="1" si="26"/>
        <v>0</v>
      </c>
      <c r="BR25" s="145" t="e">
        <f t="shared" ca="1" si="40"/>
        <v>#VALUE!</v>
      </c>
      <c r="BS25" s="145" t="e">
        <f t="shared" ca="1" si="28"/>
        <v>#VALUE!</v>
      </c>
      <c r="BT25" s="145" t="e">
        <f t="shared" ca="1" si="29"/>
        <v>#VALUE!</v>
      </c>
      <c r="BU25" s="145" t="e">
        <f t="shared" ca="1" si="30"/>
        <v>#VALUE!</v>
      </c>
      <c r="BV25" s="145" t="e">
        <f t="shared" ca="1" si="31"/>
        <v>#VALUE!</v>
      </c>
      <c r="BW25" s="146" t="e">
        <f t="shared" ca="1" si="32"/>
        <v>#VALUE!</v>
      </c>
      <c r="BX25" s="146" t="e">
        <f t="shared" ca="1" si="33"/>
        <v>#VALUE!</v>
      </c>
      <c r="BY25" s="146" t="e">
        <f t="shared" ca="1" si="34"/>
        <v>#VALUE!</v>
      </c>
    </row>
    <row r="26" spans="1:77" x14ac:dyDescent="0.25">
      <c r="A26" s="14">
        <f t="shared" si="35"/>
        <v>10</v>
      </c>
      <c r="B26" s="14">
        <f t="shared" si="35"/>
        <v>50</v>
      </c>
      <c r="C26" s="38">
        <f t="shared" si="4"/>
        <v>1.2189944199947571</v>
      </c>
      <c r="D26" s="25"/>
      <c r="E26" s="74">
        <f>+SUMIFS(Income!D20:K20,Income!D$5:K$5,FALSE)</f>
        <v>192777.23030321929</v>
      </c>
      <c r="F26" s="74" t="str">
        <f ca="1">+Investments!P21</f>
        <v>EXPIRED</v>
      </c>
      <c r="G26" s="74" t="e">
        <f t="shared" ca="1" si="5"/>
        <v>#VALUE!</v>
      </c>
      <c r="H26" s="5">
        <f>+SUMIFS(Income!D20:K20,Income!D$5:K$5,TRUE)</f>
        <v>0</v>
      </c>
      <c r="I26" s="5" t="str">
        <f ca="1">+Investments!Q21</f>
        <v>EXPIRED</v>
      </c>
      <c r="J26" s="5">
        <f ca="1">+RealEstate!G15</f>
        <v>0</v>
      </c>
      <c r="K26" s="5">
        <f t="shared" ca="1" si="6"/>
        <v>0</v>
      </c>
      <c r="L26" s="5">
        <f t="shared" ca="1" si="7"/>
        <v>0</v>
      </c>
      <c r="M26" s="25"/>
      <c r="N26" s="77" t="str">
        <f ca="1">+Investments!N21</f>
        <v>EXPIRED</v>
      </c>
      <c r="O26" s="77">
        <f t="shared" ca="1" si="8"/>
        <v>0</v>
      </c>
      <c r="P26" s="25"/>
      <c r="Q26" s="32" t="e">
        <f t="shared" ca="1" si="41"/>
        <v>#VALUE!</v>
      </c>
      <c r="R26" s="32" t="e">
        <f t="shared" ca="1" si="10"/>
        <v>#VALUE!</v>
      </c>
      <c r="S26" s="32" t="e">
        <f ca="1">+AQ26+RealEstate!H15</f>
        <v>#VALUE!</v>
      </c>
      <c r="T26" s="32">
        <f ca="1">+RealEstate!I15</f>
        <v>0</v>
      </c>
      <c r="U26" s="32" t="e">
        <f t="shared" ca="1" si="11"/>
        <v>#VALUE!</v>
      </c>
      <c r="V26" s="32" t="e">
        <f t="shared" ca="1" si="36"/>
        <v>#VALUE!</v>
      </c>
      <c r="W26" s="32">
        <f t="shared" ca="1" si="12"/>
        <v>0</v>
      </c>
      <c r="Z26" s="25"/>
      <c r="AA26" s="90" t="e">
        <f t="shared" ca="1" si="57"/>
        <v>#VALUE!</v>
      </c>
      <c r="AB26" s="25"/>
      <c r="AC26" s="2" t="e">
        <f t="shared" ca="1" si="14"/>
        <v>#VALUE!</v>
      </c>
      <c r="AD26" s="2" t="e">
        <f t="shared" ref="AD26:AL26" ca="1" si="64">MAX(0,MIN($V26,AD$11*$C26)-AC$11*$C26)*AC$10</f>
        <v>#VALUE!</v>
      </c>
      <c r="AE26" s="2" t="e">
        <f t="shared" ca="1" si="64"/>
        <v>#VALUE!</v>
      </c>
      <c r="AF26" s="2" t="e">
        <f t="shared" ca="1" si="64"/>
        <v>#VALUE!</v>
      </c>
      <c r="AG26" s="2" t="e">
        <f t="shared" ca="1" si="64"/>
        <v>#VALUE!</v>
      </c>
      <c r="AH26" s="2" t="e">
        <f t="shared" ca="1" si="64"/>
        <v>#VALUE!</v>
      </c>
      <c r="AI26" s="2" t="e">
        <f t="shared" ca="1" si="64"/>
        <v>#VALUE!</v>
      </c>
      <c r="AJ26" s="2" t="e">
        <f t="shared" ca="1" si="64"/>
        <v>#VALUE!</v>
      </c>
      <c r="AK26" s="2" t="e">
        <f t="shared" ca="1" si="64"/>
        <v>#VALUE!</v>
      </c>
      <c r="AL26" s="2" t="e">
        <f t="shared" ca="1" si="64"/>
        <v>#VALUE!</v>
      </c>
      <c r="AM26" s="25"/>
      <c r="AN26" s="2" t="e">
        <f t="shared" ca="1" si="16"/>
        <v>#VALUE!</v>
      </c>
      <c r="AO26" s="2" t="e">
        <f t="shared" ca="1" si="17"/>
        <v>#VALUE!</v>
      </c>
      <c r="AP26" s="25"/>
      <c r="AQ26" s="2" t="e">
        <f t="shared" ca="1" si="18"/>
        <v>#VALUE!</v>
      </c>
      <c r="AR26" s="2" t="e">
        <f t="shared" ref="AR26:AZ26" ca="1" si="65">MAX(0,MIN($R26,AR$11*$C26)-AQ$11*$C26)*AQ$10</f>
        <v>#VALUE!</v>
      </c>
      <c r="AS26" s="2" t="e">
        <f t="shared" ca="1" si="65"/>
        <v>#VALUE!</v>
      </c>
      <c r="AT26" s="2" t="e">
        <f t="shared" ca="1" si="65"/>
        <v>#VALUE!</v>
      </c>
      <c r="AU26" s="2" t="e">
        <f t="shared" ca="1" si="65"/>
        <v>#VALUE!</v>
      </c>
      <c r="AV26" s="2" t="e">
        <f t="shared" ca="1" si="65"/>
        <v>#VALUE!</v>
      </c>
      <c r="AW26" s="2" t="e">
        <f t="shared" ca="1" si="65"/>
        <v>#VALUE!</v>
      </c>
      <c r="AX26" s="2" t="e">
        <f t="shared" ca="1" si="65"/>
        <v>#VALUE!</v>
      </c>
      <c r="AY26" s="2" t="e">
        <f t="shared" ca="1" si="65"/>
        <v>#VALUE!</v>
      </c>
      <c r="AZ26" s="2" t="e">
        <f t="shared" ca="1" si="65"/>
        <v>#VALUE!</v>
      </c>
      <c r="BA26" s="25"/>
      <c r="BB26" s="2">
        <f t="shared" ca="1" si="20"/>
        <v>0</v>
      </c>
      <c r="BC26" s="2">
        <f t="shared" ref="BC26:BK26" ca="1" si="66">MAX(0,MIN($W26,BC$11*$C26)-BB$11*$C26)*BB$10</f>
        <v>0</v>
      </c>
      <c r="BD26" s="2">
        <f t="shared" ca="1" si="66"/>
        <v>0</v>
      </c>
      <c r="BE26" s="2">
        <f t="shared" ca="1" si="66"/>
        <v>0</v>
      </c>
      <c r="BF26" s="2">
        <f t="shared" ca="1" si="66"/>
        <v>0</v>
      </c>
      <c r="BG26" s="2">
        <f t="shared" ca="1" si="66"/>
        <v>0</v>
      </c>
      <c r="BH26" s="2">
        <f t="shared" ca="1" si="66"/>
        <v>0</v>
      </c>
      <c r="BI26" s="2">
        <f t="shared" ca="1" si="66"/>
        <v>0</v>
      </c>
      <c r="BJ26" s="2">
        <f t="shared" ca="1" si="66"/>
        <v>0</v>
      </c>
      <c r="BK26" s="2">
        <f t="shared" ca="1" si="66"/>
        <v>0</v>
      </c>
      <c r="BL26" s="25"/>
      <c r="BM26" s="145" t="e">
        <f t="shared" ca="1" si="22"/>
        <v>#VALUE!</v>
      </c>
      <c r="BN26" s="145" t="e">
        <f t="shared" ca="1" si="23"/>
        <v>#VALUE!</v>
      </c>
      <c r="BO26" s="145" t="e">
        <f t="shared" ca="1" si="24"/>
        <v>#VALUE!</v>
      </c>
      <c r="BP26" s="145" t="e">
        <f t="shared" ca="1" si="25"/>
        <v>#VALUE!</v>
      </c>
      <c r="BQ26" s="145">
        <f t="shared" ca="1" si="26"/>
        <v>0</v>
      </c>
      <c r="BR26" s="145" t="e">
        <f t="shared" ca="1" si="40"/>
        <v>#VALUE!</v>
      </c>
      <c r="BS26" s="145" t="e">
        <f t="shared" ca="1" si="28"/>
        <v>#VALUE!</v>
      </c>
      <c r="BT26" s="145" t="e">
        <f t="shared" ca="1" si="29"/>
        <v>#VALUE!</v>
      </c>
      <c r="BU26" s="145" t="e">
        <f t="shared" ca="1" si="30"/>
        <v>#VALUE!</v>
      </c>
      <c r="BV26" s="145" t="e">
        <f t="shared" ca="1" si="31"/>
        <v>#VALUE!</v>
      </c>
      <c r="BW26" s="146" t="e">
        <f t="shared" ca="1" si="32"/>
        <v>#VALUE!</v>
      </c>
      <c r="BX26" s="146" t="e">
        <f t="shared" ca="1" si="33"/>
        <v>#VALUE!</v>
      </c>
      <c r="BY26" s="146" t="e">
        <f t="shared" ca="1" si="34"/>
        <v>#VALUE!</v>
      </c>
    </row>
    <row r="27" spans="1:77" x14ac:dyDescent="0.25">
      <c r="A27" s="14">
        <f t="shared" si="35"/>
        <v>11</v>
      </c>
      <c r="B27" s="14">
        <f t="shared" si="35"/>
        <v>51</v>
      </c>
      <c r="C27" s="38">
        <f t="shared" si="4"/>
        <v>1.243374308394652</v>
      </c>
      <c r="D27" s="25"/>
      <c r="E27" s="74">
        <f>+SUMIFS(Income!D21:K21,Income!D$5:K$5,FALSE)</f>
        <v>197139.1063417879</v>
      </c>
      <c r="F27" s="74" t="str">
        <f ca="1">+Investments!P22</f>
        <v>EXPIRED</v>
      </c>
      <c r="G27" s="74" t="e">
        <f t="shared" ca="1" si="5"/>
        <v>#VALUE!</v>
      </c>
      <c r="H27" s="5">
        <f>+SUMIFS(Income!D21:K21,Income!D$5:K$5,TRUE)</f>
        <v>0</v>
      </c>
      <c r="I27" s="5" t="str">
        <f ca="1">+Investments!Q22</f>
        <v>EXPIRED</v>
      </c>
      <c r="J27" s="5">
        <f ca="1">+RealEstate!G16</f>
        <v>0</v>
      </c>
      <c r="K27" s="5">
        <f t="shared" ca="1" si="6"/>
        <v>0</v>
      </c>
      <c r="L27" s="5">
        <f t="shared" ca="1" si="7"/>
        <v>0</v>
      </c>
      <c r="M27" s="25"/>
      <c r="N27" s="77" t="str">
        <f ca="1">+Investments!N22</f>
        <v>EXPIRED</v>
      </c>
      <c r="O27" s="77">
        <f t="shared" ca="1" si="8"/>
        <v>0</v>
      </c>
      <c r="P27" s="25"/>
      <c r="Q27" s="32" t="e">
        <f t="shared" ca="1" si="41"/>
        <v>#VALUE!</v>
      </c>
      <c r="R27" s="32" t="e">
        <f t="shared" ca="1" si="10"/>
        <v>#VALUE!</v>
      </c>
      <c r="S27" s="32" t="e">
        <f ca="1">+AQ27+RealEstate!H16</f>
        <v>#VALUE!</v>
      </c>
      <c r="T27" s="32">
        <f ca="1">+RealEstate!I16</f>
        <v>0</v>
      </c>
      <c r="U27" s="32" t="e">
        <f t="shared" ca="1" si="11"/>
        <v>#VALUE!</v>
      </c>
      <c r="V27" s="32" t="e">
        <f t="shared" ca="1" si="36"/>
        <v>#VALUE!</v>
      </c>
      <c r="W27" s="32">
        <f t="shared" ca="1" si="12"/>
        <v>0</v>
      </c>
      <c r="Z27" s="25"/>
      <c r="AA27" s="90" t="e">
        <f t="shared" ca="1" si="57"/>
        <v>#VALUE!</v>
      </c>
      <c r="AB27" s="25"/>
      <c r="AC27" s="2" t="e">
        <f t="shared" ca="1" si="14"/>
        <v>#VALUE!</v>
      </c>
      <c r="AD27" s="2" t="e">
        <f t="shared" ref="AD27:AL27" ca="1" si="67">MAX(0,MIN($V27,AD$11*$C27)-AC$11*$C27)*AC$10</f>
        <v>#VALUE!</v>
      </c>
      <c r="AE27" s="2" t="e">
        <f t="shared" ca="1" si="67"/>
        <v>#VALUE!</v>
      </c>
      <c r="AF27" s="2" t="e">
        <f t="shared" ca="1" si="67"/>
        <v>#VALUE!</v>
      </c>
      <c r="AG27" s="2" t="e">
        <f t="shared" ca="1" si="67"/>
        <v>#VALUE!</v>
      </c>
      <c r="AH27" s="2" t="e">
        <f t="shared" ca="1" si="67"/>
        <v>#VALUE!</v>
      </c>
      <c r="AI27" s="2" t="e">
        <f t="shared" ca="1" si="67"/>
        <v>#VALUE!</v>
      </c>
      <c r="AJ27" s="2" t="e">
        <f t="shared" ca="1" si="67"/>
        <v>#VALUE!</v>
      </c>
      <c r="AK27" s="2" t="e">
        <f t="shared" ca="1" si="67"/>
        <v>#VALUE!</v>
      </c>
      <c r="AL27" s="2" t="e">
        <f t="shared" ca="1" si="67"/>
        <v>#VALUE!</v>
      </c>
      <c r="AM27" s="25"/>
      <c r="AN27" s="2" t="e">
        <f t="shared" ca="1" si="16"/>
        <v>#VALUE!</v>
      </c>
      <c r="AO27" s="2" t="e">
        <f t="shared" ca="1" si="17"/>
        <v>#VALUE!</v>
      </c>
      <c r="AP27" s="25"/>
      <c r="AQ27" s="2" t="e">
        <f t="shared" ca="1" si="18"/>
        <v>#VALUE!</v>
      </c>
      <c r="AR27" s="2" t="e">
        <f t="shared" ref="AR27:AZ27" ca="1" si="68">MAX(0,MIN($R27,AR$11*$C27)-AQ$11*$C27)*AQ$10</f>
        <v>#VALUE!</v>
      </c>
      <c r="AS27" s="2" t="e">
        <f t="shared" ca="1" si="68"/>
        <v>#VALUE!</v>
      </c>
      <c r="AT27" s="2" t="e">
        <f t="shared" ca="1" si="68"/>
        <v>#VALUE!</v>
      </c>
      <c r="AU27" s="2" t="e">
        <f t="shared" ca="1" si="68"/>
        <v>#VALUE!</v>
      </c>
      <c r="AV27" s="2" t="e">
        <f t="shared" ca="1" si="68"/>
        <v>#VALUE!</v>
      </c>
      <c r="AW27" s="2" t="e">
        <f t="shared" ca="1" si="68"/>
        <v>#VALUE!</v>
      </c>
      <c r="AX27" s="2" t="e">
        <f t="shared" ca="1" si="68"/>
        <v>#VALUE!</v>
      </c>
      <c r="AY27" s="2" t="e">
        <f t="shared" ca="1" si="68"/>
        <v>#VALUE!</v>
      </c>
      <c r="AZ27" s="2" t="e">
        <f t="shared" ca="1" si="68"/>
        <v>#VALUE!</v>
      </c>
      <c r="BA27" s="25"/>
      <c r="BB27" s="2">
        <f t="shared" ca="1" si="20"/>
        <v>0</v>
      </c>
      <c r="BC27" s="2">
        <f t="shared" ref="BC27:BK27" ca="1" si="69">MAX(0,MIN($W27,BC$11*$C27)-BB$11*$C27)*BB$10</f>
        <v>0</v>
      </c>
      <c r="BD27" s="2">
        <f t="shared" ca="1" si="69"/>
        <v>0</v>
      </c>
      <c r="BE27" s="2">
        <f t="shared" ca="1" si="69"/>
        <v>0</v>
      </c>
      <c r="BF27" s="2">
        <f t="shared" ca="1" si="69"/>
        <v>0</v>
      </c>
      <c r="BG27" s="2">
        <f t="shared" ca="1" si="69"/>
        <v>0</v>
      </c>
      <c r="BH27" s="2">
        <f t="shared" ca="1" si="69"/>
        <v>0</v>
      </c>
      <c r="BI27" s="2">
        <f t="shared" ca="1" si="69"/>
        <v>0</v>
      </c>
      <c r="BJ27" s="2">
        <f t="shared" ca="1" si="69"/>
        <v>0</v>
      </c>
      <c r="BK27" s="2">
        <f t="shared" ca="1" si="69"/>
        <v>0</v>
      </c>
      <c r="BL27" s="25"/>
      <c r="BM27" s="145" t="e">
        <f t="shared" ca="1" si="22"/>
        <v>#VALUE!</v>
      </c>
      <c r="BN27" s="145" t="e">
        <f t="shared" ca="1" si="23"/>
        <v>#VALUE!</v>
      </c>
      <c r="BO27" s="145" t="e">
        <f t="shared" ca="1" si="24"/>
        <v>#VALUE!</v>
      </c>
      <c r="BP27" s="145" t="e">
        <f t="shared" ca="1" si="25"/>
        <v>#VALUE!</v>
      </c>
      <c r="BQ27" s="145">
        <f t="shared" ca="1" si="26"/>
        <v>0</v>
      </c>
      <c r="BR27" s="145" t="e">
        <f t="shared" ca="1" si="40"/>
        <v>#VALUE!</v>
      </c>
      <c r="BS27" s="145" t="e">
        <f t="shared" ca="1" si="28"/>
        <v>#VALUE!</v>
      </c>
      <c r="BT27" s="145" t="e">
        <f t="shared" ca="1" si="29"/>
        <v>#VALUE!</v>
      </c>
      <c r="BU27" s="145" t="e">
        <f t="shared" ca="1" si="30"/>
        <v>#VALUE!</v>
      </c>
      <c r="BV27" s="145" t="e">
        <f t="shared" ca="1" si="31"/>
        <v>#VALUE!</v>
      </c>
      <c r="BW27" s="146" t="e">
        <f t="shared" ca="1" si="32"/>
        <v>#VALUE!</v>
      </c>
      <c r="BX27" s="146" t="e">
        <f t="shared" ca="1" si="33"/>
        <v>#VALUE!</v>
      </c>
      <c r="BY27" s="146" t="e">
        <f t="shared" ca="1" si="34"/>
        <v>#VALUE!</v>
      </c>
    </row>
    <row r="28" spans="1:77" x14ac:dyDescent="0.25">
      <c r="A28" s="14">
        <f t="shared" si="35"/>
        <v>12</v>
      </c>
      <c r="B28" s="14">
        <f t="shared" si="35"/>
        <v>52</v>
      </c>
      <c r="C28" s="38">
        <f t="shared" si="4"/>
        <v>1.2682417945625453</v>
      </c>
      <c r="D28" s="25"/>
      <c r="E28" s="74">
        <f>+SUMIFS(Income!D22:K22,Income!D$5:K$5,FALSE)</f>
        <v>201624.1694328358</v>
      </c>
      <c r="F28" s="74" t="str">
        <f ca="1">+Investments!P23</f>
        <v>EXPIRED</v>
      </c>
      <c r="G28" s="74" t="e">
        <f t="shared" ca="1" si="5"/>
        <v>#VALUE!</v>
      </c>
      <c r="H28" s="5">
        <f>+SUMIFS(Income!D22:K22,Income!D$5:K$5,TRUE)</f>
        <v>0</v>
      </c>
      <c r="I28" s="5" t="str">
        <f ca="1">+Investments!Q23</f>
        <v>EXPIRED</v>
      </c>
      <c r="J28" s="5">
        <f ca="1">+RealEstate!G17</f>
        <v>0</v>
      </c>
      <c r="K28" s="5">
        <f t="shared" ca="1" si="6"/>
        <v>0</v>
      </c>
      <c r="L28" s="5">
        <f t="shared" ca="1" si="7"/>
        <v>0</v>
      </c>
      <c r="M28" s="25"/>
      <c r="N28" s="77" t="str">
        <f ca="1">+Investments!N23</f>
        <v>EXPIRED</v>
      </c>
      <c r="O28" s="77">
        <f t="shared" ca="1" si="8"/>
        <v>0</v>
      </c>
      <c r="P28" s="25"/>
      <c r="Q28" s="32" t="e">
        <f t="shared" ca="1" si="41"/>
        <v>#VALUE!</v>
      </c>
      <c r="R28" s="32" t="e">
        <f t="shared" ca="1" si="10"/>
        <v>#VALUE!</v>
      </c>
      <c r="S28" s="32" t="e">
        <f ca="1">+AQ28+RealEstate!H17</f>
        <v>#VALUE!</v>
      </c>
      <c r="T28" s="32">
        <f ca="1">+RealEstate!I17</f>
        <v>0</v>
      </c>
      <c r="U28" s="32" t="e">
        <f t="shared" ca="1" si="11"/>
        <v>#VALUE!</v>
      </c>
      <c r="V28" s="32" t="e">
        <f t="shared" ca="1" si="36"/>
        <v>#VALUE!</v>
      </c>
      <c r="W28" s="32">
        <f t="shared" ca="1" si="12"/>
        <v>0</v>
      </c>
      <c r="Z28" s="25"/>
      <c r="AA28" s="90" t="e">
        <f t="shared" ca="1" si="57"/>
        <v>#VALUE!</v>
      </c>
      <c r="AB28" s="25"/>
      <c r="AC28" s="2" t="e">
        <f t="shared" ca="1" si="14"/>
        <v>#VALUE!</v>
      </c>
      <c r="AD28" s="2" t="e">
        <f t="shared" ref="AD28:AL28" ca="1" si="70">MAX(0,MIN($V28,AD$11*$C28)-AC$11*$C28)*AC$10</f>
        <v>#VALUE!</v>
      </c>
      <c r="AE28" s="2" t="e">
        <f t="shared" ca="1" si="70"/>
        <v>#VALUE!</v>
      </c>
      <c r="AF28" s="2" t="e">
        <f t="shared" ca="1" si="70"/>
        <v>#VALUE!</v>
      </c>
      <c r="AG28" s="2" t="e">
        <f t="shared" ca="1" si="70"/>
        <v>#VALUE!</v>
      </c>
      <c r="AH28" s="2" t="e">
        <f t="shared" ca="1" si="70"/>
        <v>#VALUE!</v>
      </c>
      <c r="AI28" s="2" t="e">
        <f t="shared" ca="1" si="70"/>
        <v>#VALUE!</v>
      </c>
      <c r="AJ28" s="2" t="e">
        <f t="shared" ca="1" si="70"/>
        <v>#VALUE!</v>
      </c>
      <c r="AK28" s="2" t="e">
        <f t="shared" ca="1" si="70"/>
        <v>#VALUE!</v>
      </c>
      <c r="AL28" s="2" t="e">
        <f t="shared" ca="1" si="70"/>
        <v>#VALUE!</v>
      </c>
      <c r="AM28" s="25"/>
      <c r="AN28" s="2" t="e">
        <f t="shared" ca="1" si="16"/>
        <v>#VALUE!</v>
      </c>
      <c r="AO28" s="2" t="e">
        <f t="shared" ca="1" si="17"/>
        <v>#VALUE!</v>
      </c>
      <c r="AP28" s="25"/>
      <c r="AQ28" s="2" t="e">
        <f t="shared" ca="1" si="18"/>
        <v>#VALUE!</v>
      </c>
      <c r="AR28" s="2" t="e">
        <f t="shared" ref="AR28:AZ28" ca="1" si="71">MAX(0,MIN($R28,AR$11*$C28)-AQ$11*$C28)*AQ$10</f>
        <v>#VALUE!</v>
      </c>
      <c r="AS28" s="2" t="e">
        <f t="shared" ca="1" si="71"/>
        <v>#VALUE!</v>
      </c>
      <c r="AT28" s="2" t="e">
        <f t="shared" ca="1" si="71"/>
        <v>#VALUE!</v>
      </c>
      <c r="AU28" s="2" t="e">
        <f t="shared" ca="1" si="71"/>
        <v>#VALUE!</v>
      </c>
      <c r="AV28" s="2" t="e">
        <f t="shared" ca="1" si="71"/>
        <v>#VALUE!</v>
      </c>
      <c r="AW28" s="2" t="e">
        <f t="shared" ca="1" si="71"/>
        <v>#VALUE!</v>
      </c>
      <c r="AX28" s="2" t="e">
        <f t="shared" ca="1" si="71"/>
        <v>#VALUE!</v>
      </c>
      <c r="AY28" s="2" t="e">
        <f t="shared" ca="1" si="71"/>
        <v>#VALUE!</v>
      </c>
      <c r="AZ28" s="2" t="e">
        <f t="shared" ca="1" si="71"/>
        <v>#VALUE!</v>
      </c>
      <c r="BA28" s="25"/>
      <c r="BB28" s="2">
        <f t="shared" ca="1" si="20"/>
        <v>0</v>
      </c>
      <c r="BC28" s="2">
        <f t="shared" ref="BC28:BK28" ca="1" si="72">MAX(0,MIN($W28,BC$11*$C28)-BB$11*$C28)*BB$10</f>
        <v>0</v>
      </c>
      <c r="BD28" s="2">
        <f t="shared" ca="1" si="72"/>
        <v>0</v>
      </c>
      <c r="BE28" s="2">
        <f t="shared" ca="1" si="72"/>
        <v>0</v>
      </c>
      <c r="BF28" s="2">
        <f t="shared" ca="1" si="72"/>
        <v>0</v>
      </c>
      <c r="BG28" s="2">
        <f t="shared" ca="1" si="72"/>
        <v>0</v>
      </c>
      <c r="BH28" s="2">
        <f t="shared" ca="1" si="72"/>
        <v>0</v>
      </c>
      <c r="BI28" s="2">
        <f t="shared" ca="1" si="72"/>
        <v>0</v>
      </c>
      <c r="BJ28" s="2">
        <f t="shared" ca="1" si="72"/>
        <v>0</v>
      </c>
      <c r="BK28" s="2">
        <f t="shared" ca="1" si="72"/>
        <v>0</v>
      </c>
      <c r="BL28" s="25"/>
      <c r="BM28" s="145" t="e">
        <f t="shared" ca="1" si="22"/>
        <v>#VALUE!</v>
      </c>
      <c r="BN28" s="145" t="e">
        <f t="shared" ca="1" si="23"/>
        <v>#VALUE!</v>
      </c>
      <c r="BO28" s="145" t="e">
        <f t="shared" ca="1" si="24"/>
        <v>#VALUE!</v>
      </c>
      <c r="BP28" s="145" t="e">
        <f t="shared" ca="1" si="25"/>
        <v>#VALUE!</v>
      </c>
      <c r="BQ28" s="145">
        <f t="shared" ca="1" si="26"/>
        <v>0</v>
      </c>
      <c r="BR28" s="145" t="e">
        <f t="shared" ca="1" si="40"/>
        <v>#VALUE!</v>
      </c>
      <c r="BS28" s="145" t="e">
        <f t="shared" ca="1" si="28"/>
        <v>#VALUE!</v>
      </c>
      <c r="BT28" s="145" t="e">
        <f t="shared" ca="1" si="29"/>
        <v>#VALUE!</v>
      </c>
      <c r="BU28" s="145" t="e">
        <f t="shared" ca="1" si="30"/>
        <v>#VALUE!</v>
      </c>
      <c r="BV28" s="145" t="e">
        <f t="shared" ca="1" si="31"/>
        <v>#VALUE!</v>
      </c>
      <c r="BW28" s="146" t="e">
        <f t="shared" ca="1" si="32"/>
        <v>#VALUE!</v>
      </c>
      <c r="BX28" s="146" t="e">
        <f t="shared" ca="1" si="33"/>
        <v>#VALUE!</v>
      </c>
      <c r="BY28" s="146" t="e">
        <f t="shared" ca="1" si="34"/>
        <v>#VALUE!</v>
      </c>
    </row>
    <row r="29" spans="1:77" x14ac:dyDescent="0.25">
      <c r="A29" s="14">
        <f t="shared" si="35"/>
        <v>13</v>
      </c>
      <c r="B29" s="14">
        <f t="shared" si="35"/>
        <v>53</v>
      </c>
      <c r="C29" s="38">
        <f t="shared" si="4"/>
        <v>1.2936066304537961</v>
      </c>
      <c r="D29" s="25"/>
      <c r="E29" s="74">
        <f>+SUMIFS(Income!D23:K23,Income!D$5:K$5,FALSE)</f>
        <v>206237.43573416368</v>
      </c>
      <c r="F29" s="74" t="str">
        <f ca="1">+Investments!P24</f>
        <v>EXPIRED</v>
      </c>
      <c r="G29" s="74" t="e">
        <f t="shared" ca="1" si="5"/>
        <v>#VALUE!</v>
      </c>
      <c r="H29" s="5">
        <f>+SUMIFS(Income!D23:K23,Income!D$5:K$5,TRUE)</f>
        <v>0</v>
      </c>
      <c r="I29" s="5" t="str">
        <f ca="1">+Investments!Q24</f>
        <v>EXPIRED</v>
      </c>
      <c r="J29" s="5">
        <f ca="1">+RealEstate!G18</f>
        <v>0</v>
      </c>
      <c r="K29" s="5">
        <f t="shared" ca="1" si="6"/>
        <v>0</v>
      </c>
      <c r="L29" s="5">
        <f t="shared" ca="1" si="7"/>
        <v>0</v>
      </c>
      <c r="M29" s="25"/>
      <c r="N29" s="77" t="str">
        <f ca="1">+Investments!N24</f>
        <v>EXPIRED</v>
      </c>
      <c r="O29" s="77">
        <f t="shared" ca="1" si="8"/>
        <v>0</v>
      </c>
      <c r="P29" s="25"/>
      <c r="Q29" s="32" t="e">
        <f t="shared" ca="1" si="41"/>
        <v>#VALUE!</v>
      </c>
      <c r="R29" s="32" t="e">
        <f t="shared" ca="1" si="10"/>
        <v>#VALUE!</v>
      </c>
      <c r="S29" s="32" t="e">
        <f ca="1">+AQ29+RealEstate!H18</f>
        <v>#VALUE!</v>
      </c>
      <c r="T29" s="32">
        <f ca="1">+RealEstate!I18</f>
        <v>0</v>
      </c>
      <c r="U29" s="32" t="e">
        <f t="shared" ca="1" si="11"/>
        <v>#VALUE!</v>
      </c>
      <c r="V29" s="32" t="e">
        <f t="shared" ca="1" si="36"/>
        <v>#VALUE!</v>
      </c>
      <c r="W29" s="32">
        <f t="shared" ca="1" si="12"/>
        <v>0</v>
      </c>
      <c r="Z29" s="25"/>
      <c r="AA29" s="90" t="e">
        <f t="shared" ca="1" si="57"/>
        <v>#VALUE!</v>
      </c>
      <c r="AB29" s="25"/>
      <c r="AC29" s="2" t="e">
        <f t="shared" ca="1" si="14"/>
        <v>#VALUE!</v>
      </c>
      <c r="AD29" s="2" t="e">
        <f t="shared" ref="AD29:AL29" ca="1" si="73">MAX(0,MIN($V29,AD$11*$C29)-AC$11*$C29)*AC$10</f>
        <v>#VALUE!</v>
      </c>
      <c r="AE29" s="2" t="e">
        <f t="shared" ca="1" si="73"/>
        <v>#VALUE!</v>
      </c>
      <c r="AF29" s="2" t="e">
        <f t="shared" ca="1" si="73"/>
        <v>#VALUE!</v>
      </c>
      <c r="AG29" s="2" t="e">
        <f t="shared" ca="1" si="73"/>
        <v>#VALUE!</v>
      </c>
      <c r="AH29" s="2" t="e">
        <f t="shared" ca="1" si="73"/>
        <v>#VALUE!</v>
      </c>
      <c r="AI29" s="2" t="e">
        <f t="shared" ca="1" si="73"/>
        <v>#VALUE!</v>
      </c>
      <c r="AJ29" s="2" t="e">
        <f t="shared" ca="1" si="73"/>
        <v>#VALUE!</v>
      </c>
      <c r="AK29" s="2" t="e">
        <f t="shared" ca="1" si="73"/>
        <v>#VALUE!</v>
      </c>
      <c r="AL29" s="2" t="e">
        <f t="shared" ca="1" si="73"/>
        <v>#VALUE!</v>
      </c>
      <c r="AM29" s="25"/>
      <c r="AN29" s="2" t="e">
        <f t="shared" ca="1" si="16"/>
        <v>#VALUE!</v>
      </c>
      <c r="AO29" s="2" t="e">
        <f t="shared" ca="1" si="17"/>
        <v>#VALUE!</v>
      </c>
      <c r="AP29" s="25"/>
      <c r="AQ29" s="2" t="e">
        <f t="shared" ca="1" si="18"/>
        <v>#VALUE!</v>
      </c>
      <c r="AR29" s="2" t="e">
        <f t="shared" ref="AR29:AZ29" ca="1" si="74">MAX(0,MIN($R29,AR$11*$C29)-AQ$11*$C29)*AQ$10</f>
        <v>#VALUE!</v>
      </c>
      <c r="AS29" s="2" t="e">
        <f t="shared" ca="1" si="74"/>
        <v>#VALUE!</v>
      </c>
      <c r="AT29" s="2" t="e">
        <f t="shared" ca="1" si="74"/>
        <v>#VALUE!</v>
      </c>
      <c r="AU29" s="2" t="e">
        <f t="shared" ca="1" si="74"/>
        <v>#VALUE!</v>
      </c>
      <c r="AV29" s="2" t="e">
        <f t="shared" ca="1" si="74"/>
        <v>#VALUE!</v>
      </c>
      <c r="AW29" s="2" t="e">
        <f t="shared" ca="1" si="74"/>
        <v>#VALUE!</v>
      </c>
      <c r="AX29" s="2" t="e">
        <f t="shared" ca="1" si="74"/>
        <v>#VALUE!</v>
      </c>
      <c r="AY29" s="2" t="e">
        <f t="shared" ca="1" si="74"/>
        <v>#VALUE!</v>
      </c>
      <c r="AZ29" s="2" t="e">
        <f t="shared" ca="1" si="74"/>
        <v>#VALUE!</v>
      </c>
      <c r="BA29" s="25"/>
      <c r="BB29" s="2">
        <f t="shared" ca="1" si="20"/>
        <v>0</v>
      </c>
      <c r="BC29" s="2">
        <f t="shared" ref="BC29:BK29" ca="1" si="75">MAX(0,MIN($W29,BC$11*$C29)-BB$11*$C29)*BB$10</f>
        <v>0</v>
      </c>
      <c r="BD29" s="2">
        <f t="shared" ca="1" si="75"/>
        <v>0</v>
      </c>
      <c r="BE29" s="2">
        <f t="shared" ca="1" si="75"/>
        <v>0</v>
      </c>
      <c r="BF29" s="2">
        <f t="shared" ca="1" si="75"/>
        <v>0</v>
      </c>
      <c r="BG29" s="2">
        <f t="shared" ca="1" si="75"/>
        <v>0</v>
      </c>
      <c r="BH29" s="2">
        <f t="shared" ca="1" si="75"/>
        <v>0</v>
      </c>
      <c r="BI29" s="2">
        <f t="shared" ca="1" si="75"/>
        <v>0</v>
      </c>
      <c r="BJ29" s="2">
        <f t="shared" ca="1" si="75"/>
        <v>0</v>
      </c>
      <c r="BK29" s="2">
        <f t="shared" ca="1" si="75"/>
        <v>0</v>
      </c>
      <c r="BL29" s="25"/>
      <c r="BM29" s="145" t="e">
        <f t="shared" ca="1" si="22"/>
        <v>#VALUE!</v>
      </c>
      <c r="BN29" s="145" t="e">
        <f t="shared" ca="1" si="23"/>
        <v>#VALUE!</v>
      </c>
      <c r="BO29" s="145" t="e">
        <f t="shared" ca="1" si="24"/>
        <v>#VALUE!</v>
      </c>
      <c r="BP29" s="145" t="e">
        <f t="shared" ca="1" si="25"/>
        <v>#VALUE!</v>
      </c>
      <c r="BQ29" s="145">
        <f t="shared" ca="1" si="26"/>
        <v>0</v>
      </c>
      <c r="BR29" s="145" t="e">
        <f t="shared" ca="1" si="40"/>
        <v>#VALUE!</v>
      </c>
      <c r="BS29" s="145" t="e">
        <f t="shared" ca="1" si="28"/>
        <v>#VALUE!</v>
      </c>
      <c r="BT29" s="145" t="e">
        <f t="shared" ca="1" si="29"/>
        <v>#VALUE!</v>
      </c>
      <c r="BU29" s="145" t="e">
        <f t="shared" ca="1" si="30"/>
        <v>#VALUE!</v>
      </c>
      <c r="BV29" s="145" t="e">
        <f t="shared" ca="1" si="31"/>
        <v>#VALUE!</v>
      </c>
      <c r="BW29" s="146" t="e">
        <f t="shared" ca="1" si="32"/>
        <v>#VALUE!</v>
      </c>
      <c r="BX29" s="146" t="e">
        <f t="shared" ca="1" si="33"/>
        <v>#VALUE!</v>
      </c>
      <c r="BY29" s="146" t="e">
        <f t="shared" ca="1" si="34"/>
        <v>#VALUE!</v>
      </c>
    </row>
    <row r="30" spans="1:77" x14ac:dyDescent="0.25">
      <c r="A30" s="14">
        <f t="shared" si="35"/>
        <v>14</v>
      </c>
      <c r="B30" s="14">
        <f t="shared" si="35"/>
        <v>54</v>
      </c>
      <c r="C30" s="38">
        <f t="shared" si="4"/>
        <v>1.3194787630628722</v>
      </c>
      <c r="D30" s="25"/>
      <c r="E30" s="74">
        <f>+SUMIFS(Income!D24:K24,Income!D$5:K$5,FALSE)</f>
        <v>210984.20294831775</v>
      </c>
      <c r="F30" s="74" t="str">
        <f ca="1">+Investments!P25</f>
        <v>EXPIRED</v>
      </c>
      <c r="G30" s="74" t="e">
        <f t="shared" ca="1" si="5"/>
        <v>#VALUE!</v>
      </c>
      <c r="H30" s="5">
        <f>+SUMIFS(Income!D24:K24,Income!D$5:K$5,TRUE)</f>
        <v>0</v>
      </c>
      <c r="I30" s="5" t="str">
        <f ca="1">+Investments!Q25</f>
        <v>EXPIRED</v>
      </c>
      <c r="J30" s="5">
        <f ca="1">+RealEstate!G19</f>
        <v>0</v>
      </c>
      <c r="K30" s="5">
        <f t="shared" ca="1" si="6"/>
        <v>0</v>
      </c>
      <c r="L30" s="5">
        <f t="shared" ca="1" si="7"/>
        <v>0</v>
      </c>
      <c r="M30" s="25"/>
      <c r="N30" s="77" t="str">
        <f ca="1">+Investments!N25</f>
        <v>EXPIRED</v>
      </c>
      <c r="O30" s="77">
        <f t="shared" ca="1" si="8"/>
        <v>0</v>
      </c>
      <c r="P30" s="25"/>
      <c r="Q30" s="32" t="e">
        <f t="shared" ca="1" si="41"/>
        <v>#VALUE!</v>
      </c>
      <c r="R30" s="32" t="e">
        <f t="shared" ca="1" si="10"/>
        <v>#VALUE!</v>
      </c>
      <c r="S30" s="32" t="e">
        <f ca="1">+AQ30+RealEstate!H19</f>
        <v>#VALUE!</v>
      </c>
      <c r="T30" s="32">
        <f ca="1">+RealEstate!I19</f>
        <v>0</v>
      </c>
      <c r="U30" s="32" t="e">
        <f t="shared" ca="1" si="11"/>
        <v>#VALUE!</v>
      </c>
      <c r="V30" s="32" t="e">
        <f t="shared" ca="1" si="36"/>
        <v>#VALUE!</v>
      </c>
      <c r="W30" s="32">
        <f t="shared" ca="1" si="12"/>
        <v>0</v>
      </c>
      <c r="Z30" s="25"/>
      <c r="AA30" s="90" t="e">
        <f t="shared" ca="1" si="57"/>
        <v>#VALUE!</v>
      </c>
      <c r="AB30" s="25"/>
      <c r="AC30" s="2" t="e">
        <f t="shared" ca="1" si="14"/>
        <v>#VALUE!</v>
      </c>
      <c r="AD30" s="2" t="e">
        <f t="shared" ref="AD30:AL30" ca="1" si="76">MAX(0,MIN($V30,AD$11*$C30)-AC$11*$C30)*AC$10</f>
        <v>#VALUE!</v>
      </c>
      <c r="AE30" s="2" t="e">
        <f t="shared" ca="1" si="76"/>
        <v>#VALUE!</v>
      </c>
      <c r="AF30" s="2" t="e">
        <f t="shared" ca="1" si="76"/>
        <v>#VALUE!</v>
      </c>
      <c r="AG30" s="2" t="e">
        <f t="shared" ca="1" si="76"/>
        <v>#VALUE!</v>
      </c>
      <c r="AH30" s="2" t="e">
        <f t="shared" ca="1" si="76"/>
        <v>#VALUE!</v>
      </c>
      <c r="AI30" s="2" t="e">
        <f t="shared" ca="1" si="76"/>
        <v>#VALUE!</v>
      </c>
      <c r="AJ30" s="2" t="e">
        <f t="shared" ca="1" si="76"/>
        <v>#VALUE!</v>
      </c>
      <c r="AK30" s="2" t="e">
        <f t="shared" ca="1" si="76"/>
        <v>#VALUE!</v>
      </c>
      <c r="AL30" s="2" t="e">
        <f t="shared" ca="1" si="76"/>
        <v>#VALUE!</v>
      </c>
      <c r="AM30" s="25"/>
      <c r="AN30" s="2" t="e">
        <f t="shared" ca="1" si="16"/>
        <v>#VALUE!</v>
      </c>
      <c r="AO30" s="2" t="e">
        <f t="shared" ca="1" si="17"/>
        <v>#VALUE!</v>
      </c>
      <c r="AP30" s="25"/>
      <c r="AQ30" s="2" t="e">
        <f t="shared" ca="1" si="18"/>
        <v>#VALUE!</v>
      </c>
      <c r="AR30" s="2" t="e">
        <f t="shared" ref="AR30:AZ30" ca="1" si="77">MAX(0,MIN($R30,AR$11*$C30)-AQ$11*$C30)*AQ$10</f>
        <v>#VALUE!</v>
      </c>
      <c r="AS30" s="2" t="e">
        <f t="shared" ca="1" si="77"/>
        <v>#VALUE!</v>
      </c>
      <c r="AT30" s="2" t="e">
        <f t="shared" ca="1" si="77"/>
        <v>#VALUE!</v>
      </c>
      <c r="AU30" s="2" t="e">
        <f t="shared" ca="1" si="77"/>
        <v>#VALUE!</v>
      </c>
      <c r="AV30" s="2" t="e">
        <f t="shared" ca="1" si="77"/>
        <v>#VALUE!</v>
      </c>
      <c r="AW30" s="2" t="e">
        <f t="shared" ca="1" si="77"/>
        <v>#VALUE!</v>
      </c>
      <c r="AX30" s="2" t="e">
        <f t="shared" ca="1" si="77"/>
        <v>#VALUE!</v>
      </c>
      <c r="AY30" s="2" t="e">
        <f t="shared" ca="1" si="77"/>
        <v>#VALUE!</v>
      </c>
      <c r="AZ30" s="2" t="e">
        <f t="shared" ca="1" si="77"/>
        <v>#VALUE!</v>
      </c>
      <c r="BA30" s="25"/>
      <c r="BB30" s="2">
        <f t="shared" ca="1" si="20"/>
        <v>0</v>
      </c>
      <c r="BC30" s="2">
        <f t="shared" ref="BC30:BK30" ca="1" si="78">MAX(0,MIN($W30,BC$11*$C30)-BB$11*$C30)*BB$10</f>
        <v>0</v>
      </c>
      <c r="BD30" s="2">
        <f t="shared" ca="1" si="78"/>
        <v>0</v>
      </c>
      <c r="BE30" s="2">
        <f t="shared" ca="1" si="78"/>
        <v>0</v>
      </c>
      <c r="BF30" s="2">
        <f t="shared" ca="1" si="78"/>
        <v>0</v>
      </c>
      <c r="BG30" s="2">
        <f t="shared" ca="1" si="78"/>
        <v>0</v>
      </c>
      <c r="BH30" s="2">
        <f t="shared" ca="1" si="78"/>
        <v>0</v>
      </c>
      <c r="BI30" s="2">
        <f t="shared" ca="1" si="78"/>
        <v>0</v>
      </c>
      <c r="BJ30" s="2">
        <f t="shared" ca="1" si="78"/>
        <v>0</v>
      </c>
      <c r="BK30" s="2">
        <f t="shared" ca="1" si="78"/>
        <v>0</v>
      </c>
      <c r="BL30" s="25"/>
      <c r="BM30" s="145" t="e">
        <f t="shared" ca="1" si="22"/>
        <v>#VALUE!</v>
      </c>
      <c r="BN30" s="145" t="e">
        <f t="shared" ca="1" si="23"/>
        <v>#VALUE!</v>
      </c>
      <c r="BO30" s="145" t="e">
        <f t="shared" ca="1" si="24"/>
        <v>#VALUE!</v>
      </c>
      <c r="BP30" s="145" t="e">
        <f t="shared" ca="1" si="25"/>
        <v>#VALUE!</v>
      </c>
      <c r="BQ30" s="145">
        <f t="shared" ca="1" si="26"/>
        <v>0</v>
      </c>
      <c r="BR30" s="145" t="e">
        <f t="shared" ca="1" si="40"/>
        <v>#VALUE!</v>
      </c>
      <c r="BS30" s="145" t="e">
        <f t="shared" ca="1" si="28"/>
        <v>#VALUE!</v>
      </c>
      <c r="BT30" s="145" t="e">
        <f t="shared" ca="1" si="29"/>
        <v>#VALUE!</v>
      </c>
      <c r="BU30" s="145" t="e">
        <f t="shared" ca="1" si="30"/>
        <v>#VALUE!</v>
      </c>
      <c r="BV30" s="145" t="e">
        <f t="shared" ca="1" si="31"/>
        <v>#VALUE!</v>
      </c>
      <c r="BW30" s="146" t="e">
        <f t="shared" ca="1" si="32"/>
        <v>#VALUE!</v>
      </c>
      <c r="BX30" s="146" t="e">
        <f t="shared" ca="1" si="33"/>
        <v>#VALUE!</v>
      </c>
      <c r="BY30" s="146" t="e">
        <f t="shared" ca="1" si="34"/>
        <v>#VALUE!</v>
      </c>
    </row>
    <row r="31" spans="1:77" x14ac:dyDescent="0.25">
      <c r="A31" s="14">
        <f t="shared" si="35"/>
        <v>15</v>
      </c>
      <c r="B31" s="14">
        <f t="shared" si="35"/>
        <v>55</v>
      </c>
      <c r="C31" s="38">
        <f t="shared" si="4"/>
        <v>1.3458683383241292</v>
      </c>
      <c r="D31" s="25"/>
      <c r="E31" s="74">
        <f>+SUMIFS(Income!D25:K25,Income!D$5:K$5,FALSE)</f>
        <v>215870.0688202173</v>
      </c>
      <c r="F31" s="74" t="str">
        <f ca="1">+Investments!P26</f>
        <v>EXPIRED</v>
      </c>
      <c r="G31" s="74" t="e">
        <f t="shared" ca="1" si="5"/>
        <v>#VALUE!</v>
      </c>
      <c r="H31" s="5">
        <f>+SUMIFS(Income!D25:K25,Income!D$5:K$5,TRUE)</f>
        <v>0</v>
      </c>
      <c r="I31" s="5" t="str">
        <f ca="1">+Investments!Q26</f>
        <v>EXPIRED</v>
      </c>
      <c r="J31" s="5">
        <f ca="1">+RealEstate!G20</f>
        <v>0</v>
      </c>
      <c r="K31" s="5">
        <f t="shared" ca="1" si="6"/>
        <v>0</v>
      </c>
      <c r="L31" s="5">
        <f t="shared" ca="1" si="7"/>
        <v>0</v>
      </c>
      <c r="M31" s="25"/>
      <c r="N31" s="77" t="str">
        <f ca="1">+Investments!N26</f>
        <v>EXPIRED</v>
      </c>
      <c r="O31" s="77">
        <f t="shared" ca="1" si="8"/>
        <v>0</v>
      </c>
      <c r="P31" s="25"/>
      <c r="Q31" s="32" t="e">
        <f t="shared" ca="1" si="41"/>
        <v>#VALUE!</v>
      </c>
      <c r="R31" s="32" t="e">
        <f t="shared" ca="1" si="10"/>
        <v>#VALUE!</v>
      </c>
      <c r="S31" s="32" t="e">
        <f ca="1">+AQ31+RealEstate!H20</f>
        <v>#VALUE!</v>
      </c>
      <c r="T31" s="32">
        <f ca="1">+RealEstate!I20</f>
        <v>0</v>
      </c>
      <c r="U31" s="32" t="e">
        <f t="shared" ca="1" si="11"/>
        <v>#VALUE!</v>
      </c>
      <c r="V31" s="32" t="e">
        <f t="shared" ca="1" si="36"/>
        <v>#VALUE!</v>
      </c>
      <c r="W31" s="32">
        <f t="shared" ca="1" si="12"/>
        <v>0</v>
      </c>
      <c r="Z31" s="25"/>
      <c r="AA31" s="90" t="e">
        <f t="shared" ca="1" si="57"/>
        <v>#VALUE!</v>
      </c>
      <c r="AB31" s="25"/>
      <c r="AC31" s="2" t="e">
        <f t="shared" ca="1" si="14"/>
        <v>#VALUE!</v>
      </c>
      <c r="AD31" s="2" t="e">
        <f t="shared" ref="AD31:AL31" ca="1" si="79">MAX(0,MIN($V31,AD$11*$C31)-AC$11*$C31)*AC$10</f>
        <v>#VALUE!</v>
      </c>
      <c r="AE31" s="2" t="e">
        <f t="shared" ca="1" si="79"/>
        <v>#VALUE!</v>
      </c>
      <c r="AF31" s="2" t="e">
        <f t="shared" ca="1" si="79"/>
        <v>#VALUE!</v>
      </c>
      <c r="AG31" s="2" t="e">
        <f t="shared" ca="1" si="79"/>
        <v>#VALUE!</v>
      </c>
      <c r="AH31" s="2" t="e">
        <f t="shared" ca="1" si="79"/>
        <v>#VALUE!</v>
      </c>
      <c r="AI31" s="2" t="e">
        <f t="shared" ca="1" si="79"/>
        <v>#VALUE!</v>
      </c>
      <c r="AJ31" s="2" t="e">
        <f t="shared" ca="1" si="79"/>
        <v>#VALUE!</v>
      </c>
      <c r="AK31" s="2" t="e">
        <f t="shared" ca="1" si="79"/>
        <v>#VALUE!</v>
      </c>
      <c r="AL31" s="2" t="e">
        <f t="shared" ca="1" si="79"/>
        <v>#VALUE!</v>
      </c>
      <c r="AM31" s="25"/>
      <c r="AN31" s="2" t="e">
        <f t="shared" ca="1" si="16"/>
        <v>#VALUE!</v>
      </c>
      <c r="AO31" s="2" t="e">
        <f t="shared" ca="1" si="17"/>
        <v>#VALUE!</v>
      </c>
      <c r="AP31" s="25"/>
      <c r="AQ31" s="2" t="e">
        <f t="shared" ca="1" si="18"/>
        <v>#VALUE!</v>
      </c>
      <c r="AR31" s="2" t="e">
        <f t="shared" ref="AR31:AZ31" ca="1" si="80">MAX(0,MIN($R31,AR$11*$C31)-AQ$11*$C31)*AQ$10</f>
        <v>#VALUE!</v>
      </c>
      <c r="AS31" s="2" t="e">
        <f t="shared" ca="1" si="80"/>
        <v>#VALUE!</v>
      </c>
      <c r="AT31" s="2" t="e">
        <f t="shared" ca="1" si="80"/>
        <v>#VALUE!</v>
      </c>
      <c r="AU31" s="2" t="e">
        <f t="shared" ca="1" si="80"/>
        <v>#VALUE!</v>
      </c>
      <c r="AV31" s="2" t="e">
        <f t="shared" ca="1" si="80"/>
        <v>#VALUE!</v>
      </c>
      <c r="AW31" s="2" t="e">
        <f t="shared" ca="1" si="80"/>
        <v>#VALUE!</v>
      </c>
      <c r="AX31" s="2" t="e">
        <f t="shared" ca="1" si="80"/>
        <v>#VALUE!</v>
      </c>
      <c r="AY31" s="2" t="e">
        <f t="shared" ca="1" si="80"/>
        <v>#VALUE!</v>
      </c>
      <c r="AZ31" s="2" t="e">
        <f t="shared" ca="1" si="80"/>
        <v>#VALUE!</v>
      </c>
      <c r="BA31" s="25"/>
      <c r="BB31" s="2">
        <f t="shared" ca="1" si="20"/>
        <v>0</v>
      </c>
      <c r="BC31" s="2">
        <f t="shared" ref="BC31:BK31" ca="1" si="81">MAX(0,MIN($W31,BC$11*$C31)-BB$11*$C31)*BB$10</f>
        <v>0</v>
      </c>
      <c r="BD31" s="2">
        <f t="shared" ca="1" si="81"/>
        <v>0</v>
      </c>
      <c r="BE31" s="2">
        <f t="shared" ca="1" si="81"/>
        <v>0</v>
      </c>
      <c r="BF31" s="2">
        <f t="shared" ca="1" si="81"/>
        <v>0</v>
      </c>
      <c r="BG31" s="2">
        <f t="shared" ca="1" si="81"/>
        <v>0</v>
      </c>
      <c r="BH31" s="2">
        <f t="shared" ca="1" si="81"/>
        <v>0</v>
      </c>
      <c r="BI31" s="2">
        <f t="shared" ca="1" si="81"/>
        <v>0</v>
      </c>
      <c r="BJ31" s="2">
        <f t="shared" ca="1" si="81"/>
        <v>0</v>
      </c>
      <c r="BK31" s="2">
        <f t="shared" ca="1" si="81"/>
        <v>0</v>
      </c>
      <c r="BL31" s="25"/>
      <c r="BM31" s="145" t="e">
        <f t="shared" ca="1" si="22"/>
        <v>#VALUE!</v>
      </c>
      <c r="BN31" s="145" t="e">
        <f t="shared" ca="1" si="23"/>
        <v>#VALUE!</v>
      </c>
      <c r="BO31" s="145" t="e">
        <f t="shared" ca="1" si="24"/>
        <v>#VALUE!</v>
      </c>
      <c r="BP31" s="145" t="e">
        <f t="shared" ca="1" si="25"/>
        <v>#VALUE!</v>
      </c>
      <c r="BQ31" s="145">
        <f t="shared" ca="1" si="26"/>
        <v>0</v>
      </c>
      <c r="BR31" s="145" t="e">
        <f t="shared" ca="1" si="40"/>
        <v>#VALUE!</v>
      </c>
      <c r="BS31" s="145" t="e">
        <f t="shared" ca="1" si="28"/>
        <v>#VALUE!</v>
      </c>
      <c r="BT31" s="145" t="e">
        <f t="shared" ca="1" si="29"/>
        <v>#VALUE!</v>
      </c>
      <c r="BU31" s="145" t="e">
        <f t="shared" ca="1" si="30"/>
        <v>#VALUE!</v>
      </c>
      <c r="BV31" s="145" t="e">
        <f t="shared" ca="1" si="31"/>
        <v>#VALUE!</v>
      </c>
      <c r="BW31" s="146" t="e">
        <f t="shared" ca="1" si="32"/>
        <v>#VALUE!</v>
      </c>
      <c r="BX31" s="146" t="e">
        <f t="shared" ca="1" si="33"/>
        <v>#VALUE!</v>
      </c>
      <c r="BY31" s="146" t="e">
        <f t="shared" ca="1" si="34"/>
        <v>#VALUE!</v>
      </c>
    </row>
    <row r="32" spans="1:77" x14ac:dyDescent="0.25">
      <c r="A32" s="14">
        <f t="shared" si="35"/>
        <v>16</v>
      </c>
      <c r="B32" s="14">
        <f t="shared" si="35"/>
        <v>56</v>
      </c>
      <c r="C32" s="38">
        <f t="shared" si="4"/>
        <v>1.372785705090612</v>
      </c>
      <c r="D32" s="25"/>
      <c r="E32" s="74">
        <f>+SUMIFS(Income!D26:K26,Income!D$5:K$5,FALSE)</f>
        <v>220900.95091827319</v>
      </c>
      <c r="F32" s="74" t="str">
        <f ca="1">+Investments!P27</f>
        <v>EXPIRED</v>
      </c>
      <c r="G32" s="74" t="e">
        <f t="shared" ca="1" si="5"/>
        <v>#VALUE!</v>
      </c>
      <c r="H32" s="5">
        <f>+SUMIFS(Income!D26:K26,Income!D$5:K$5,TRUE)</f>
        <v>0</v>
      </c>
      <c r="I32" s="5" t="str">
        <f ca="1">+Investments!Q27</f>
        <v>EXPIRED</v>
      </c>
      <c r="J32" s="5">
        <f ca="1">+RealEstate!G21</f>
        <v>0</v>
      </c>
      <c r="K32" s="5">
        <f t="shared" ca="1" si="6"/>
        <v>0</v>
      </c>
      <c r="L32" s="5">
        <f t="shared" ca="1" si="7"/>
        <v>0</v>
      </c>
      <c r="M32" s="25"/>
      <c r="N32" s="77" t="str">
        <f ca="1">+Investments!N27</f>
        <v>EXPIRED</v>
      </c>
      <c r="O32" s="77">
        <f t="shared" ca="1" si="8"/>
        <v>0</v>
      </c>
      <c r="P32" s="25"/>
      <c r="Q32" s="32" t="e">
        <f t="shared" ca="1" si="41"/>
        <v>#VALUE!</v>
      </c>
      <c r="R32" s="32" t="e">
        <f t="shared" ca="1" si="10"/>
        <v>#VALUE!</v>
      </c>
      <c r="S32" s="32" t="e">
        <f ca="1">+AQ32+RealEstate!H21</f>
        <v>#VALUE!</v>
      </c>
      <c r="T32" s="32">
        <f ca="1">+RealEstate!I21</f>
        <v>0</v>
      </c>
      <c r="U32" s="32" t="e">
        <f t="shared" ca="1" si="11"/>
        <v>#VALUE!</v>
      </c>
      <c r="V32" s="32" t="e">
        <f t="shared" ca="1" si="36"/>
        <v>#VALUE!</v>
      </c>
      <c r="W32" s="32">
        <f t="shared" ca="1" si="12"/>
        <v>0</v>
      </c>
      <c r="Z32" s="25"/>
      <c r="AA32" s="90" t="e">
        <f t="shared" ca="1" si="57"/>
        <v>#VALUE!</v>
      </c>
      <c r="AB32" s="25"/>
      <c r="AC32" s="2" t="e">
        <f t="shared" ca="1" si="14"/>
        <v>#VALUE!</v>
      </c>
      <c r="AD32" s="2" t="e">
        <f t="shared" ref="AD32:AL32" ca="1" si="82">MAX(0,MIN($V32,AD$11*$C32)-AC$11*$C32)*AC$10</f>
        <v>#VALUE!</v>
      </c>
      <c r="AE32" s="2" t="e">
        <f t="shared" ca="1" si="82"/>
        <v>#VALUE!</v>
      </c>
      <c r="AF32" s="2" t="e">
        <f t="shared" ca="1" si="82"/>
        <v>#VALUE!</v>
      </c>
      <c r="AG32" s="2" t="e">
        <f t="shared" ca="1" si="82"/>
        <v>#VALUE!</v>
      </c>
      <c r="AH32" s="2" t="e">
        <f t="shared" ca="1" si="82"/>
        <v>#VALUE!</v>
      </c>
      <c r="AI32" s="2" t="e">
        <f t="shared" ca="1" si="82"/>
        <v>#VALUE!</v>
      </c>
      <c r="AJ32" s="2" t="e">
        <f t="shared" ca="1" si="82"/>
        <v>#VALUE!</v>
      </c>
      <c r="AK32" s="2" t="e">
        <f t="shared" ca="1" si="82"/>
        <v>#VALUE!</v>
      </c>
      <c r="AL32" s="2" t="e">
        <f t="shared" ca="1" si="82"/>
        <v>#VALUE!</v>
      </c>
      <c r="AM32" s="25"/>
      <c r="AN32" s="2" t="e">
        <f t="shared" ca="1" si="16"/>
        <v>#VALUE!</v>
      </c>
      <c r="AO32" s="2" t="e">
        <f t="shared" ca="1" si="17"/>
        <v>#VALUE!</v>
      </c>
      <c r="AP32" s="25"/>
      <c r="AQ32" s="2" t="e">
        <f t="shared" ca="1" si="18"/>
        <v>#VALUE!</v>
      </c>
      <c r="AR32" s="2" t="e">
        <f t="shared" ref="AR32:AZ32" ca="1" si="83">MAX(0,MIN($R32,AR$11*$C32)-AQ$11*$C32)*AQ$10</f>
        <v>#VALUE!</v>
      </c>
      <c r="AS32" s="2" t="e">
        <f t="shared" ca="1" si="83"/>
        <v>#VALUE!</v>
      </c>
      <c r="AT32" s="2" t="e">
        <f t="shared" ca="1" si="83"/>
        <v>#VALUE!</v>
      </c>
      <c r="AU32" s="2" t="e">
        <f t="shared" ca="1" si="83"/>
        <v>#VALUE!</v>
      </c>
      <c r="AV32" s="2" t="e">
        <f t="shared" ca="1" si="83"/>
        <v>#VALUE!</v>
      </c>
      <c r="AW32" s="2" t="e">
        <f t="shared" ca="1" si="83"/>
        <v>#VALUE!</v>
      </c>
      <c r="AX32" s="2" t="e">
        <f t="shared" ca="1" si="83"/>
        <v>#VALUE!</v>
      </c>
      <c r="AY32" s="2" t="e">
        <f t="shared" ca="1" si="83"/>
        <v>#VALUE!</v>
      </c>
      <c r="AZ32" s="2" t="e">
        <f t="shared" ca="1" si="83"/>
        <v>#VALUE!</v>
      </c>
      <c r="BA32" s="25"/>
      <c r="BB32" s="2">
        <f t="shared" ca="1" si="20"/>
        <v>0</v>
      </c>
      <c r="BC32" s="2">
        <f t="shared" ref="BC32:BK32" ca="1" si="84">MAX(0,MIN($W32,BC$11*$C32)-BB$11*$C32)*BB$10</f>
        <v>0</v>
      </c>
      <c r="BD32" s="2">
        <f t="shared" ca="1" si="84"/>
        <v>0</v>
      </c>
      <c r="BE32" s="2">
        <f t="shared" ca="1" si="84"/>
        <v>0</v>
      </c>
      <c r="BF32" s="2">
        <f t="shared" ca="1" si="84"/>
        <v>0</v>
      </c>
      <c r="BG32" s="2">
        <f t="shared" ca="1" si="84"/>
        <v>0</v>
      </c>
      <c r="BH32" s="2">
        <f t="shared" ca="1" si="84"/>
        <v>0</v>
      </c>
      <c r="BI32" s="2">
        <f t="shared" ca="1" si="84"/>
        <v>0</v>
      </c>
      <c r="BJ32" s="2">
        <f t="shared" ca="1" si="84"/>
        <v>0</v>
      </c>
      <c r="BK32" s="2">
        <f t="shared" ca="1" si="84"/>
        <v>0</v>
      </c>
      <c r="BL32" s="25"/>
      <c r="BM32" s="145" t="e">
        <f t="shared" ca="1" si="22"/>
        <v>#VALUE!</v>
      </c>
      <c r="BN32" s="145" t="e">
        <f t="shared" ca="1" si="23"/>
        <v>#VALUE!</v>
      </c>
      <c r="BO32" s="145" t="e">
        <f t="shared" ca="1" si="24"/>
        <v>#VALUE!</v>
      </c>
      <c r="BP32" s="145" t="e">
        <f t="shared" ca="1" si="25"/>
        <v>#VALUE!</v>
      </c>
      <c r="BQ32" s="145">
        <f t="shared" ca="1" si="26"/>
        <v>0</v>
      </c>
      <c r="BR32" s="145" t="e">
        <f t="shared" ca="1" si="40"/>
        <v>#VALUE!</v>
      </c>
      <c r="BS32" s="145" t="e">
        <f t="shared" ca="1" si="28"/>
        <v>#VALUE!</v>
      </c>
      <c r="BT32" s="145" t="e">
        <f t="shared" ca="1" si="29"/>
        <v>#VALUE!</v>
      </c>
      <c r="BU32" s="145" t="e">
        <f t="shared" ca="1" si="30"/>
        <v>#VALUE!</v>
      </c>
      <c r="BV32" s="145" t="e">
        <f t="shared" ca="1" si="31"/>
        <v>#VALUE!</v>
      </c>
      <c r="BW32" s="146" t="e">
        <f t="shared" ca="1" si="32"/>
        <v>#VALUE!</v>
      </c>
      <c r="BX32" s="146" t="e">
        <f t="shared" ca="1" si="33"/>
        <v>#VALUE!</v>
      </c>
      <c r="BY32" s="146" t="e">
        <f t="shared" ca="1" si="34"/>
        <v>#VALUE!</v>
      </c>
    </row>
    <row r="33" spans="1:77" x14ac:dyDescent="0.25">
      <c r="A33" s="14">
        <f t="shared" si="35"/>
        <v>17</v>
      </c>
      <c r="B33" s="14">
        <f t="shared" si="35"/>
        <v>57</v>
      </c>
      <c r="C33" s="38">
        <f t="shared" si="4"/>
        <v>1.4002414191924244</v>
      </c>
      <c r="D33" s="25"/>
      <c r="E33" s="74">
        <f>+SUMIFS(Income!D27:K27,Income!D$5:K$5,FALSE)</f>
        <v>226083.10778952739</v>
      </c>
      <c r="F33" s="74" t="str">
        <f ca="1">+Investments!P28</f>
        <v>EXPIRED</v>
      </c>
      <c r="G33" s="74" t="e">
        <f t="shared" ca="1" si="5"/>
        <v>#VALUE!</v>
      </c>
      <c r="H33" s="5">
        <f>+SUMIFS(Income!D27:K27,Income!D$5:K$5,TRUE)</f>
        <v>0</v>
      </c>
      <c r="I33" s="5" t="str">
        <f ca="1">+Investments!Q28</f>
        <v>EXPIRED</v>
      </c>
      <c r="J33" s="5">
        <f ca="1">+RealEstate!G22</f>
        <v>0</v>
      </c>
      <c r="K33" s="5">
        <f t="shared" ca="1" si="6"/>
        <v>0</v>
      </c>
      <c r="L33" s="5">
        <f t="shared" ca="1" si="7"/>
        <v>0</v>
      </c>
      <c r="M33" s="25"/>
      <c r="N33" s="77" t="str">
        <f ca="1">+Investments!N28</f>
        <v>EXPIRED</v>
      </c>
      <c r="O33" s="77">
        <f t="shared" ca="1" si="8"/>
        <v>0</v>
      </c>
      <c r="P33" s="25"/>
      <c r="Q33" s="32" t="e">
        <f t="shared" ca="1" si="41"/>
        <v>#VALUE!</v>
      </c>
      <c r="R33" s="32" t="e">
        <f t="shared" ca="1" si="10"/>
        <v>#VALUE!</v>
      </c>
      <c r="S33" s="32" t="e">
        <f ca="1">+AQ33+RealEstate!H22</f>
        <v>#VALUE!</v>
      </c>
      <c r="T33" s="32">
        <f ca="1">+RealEstate!I22</f>
        <v>0</v>
      </c>
      <c r="U33" s="32" t="e">
        <f t="shared" ca="1" si="11"/>
        <v>#VALUE!</v>
      </c>
      <c r="V33" s="32" t="e">
        <f t="shared" ca="1" si="36"/>
        <v>#VALUE!</v>
      </c>
      <c r="W33" s="32">
        <f t="shared" ca="1" si="12"/>
        <v>0</v>
      </c>
      <c r="Z33" s="25"/>
      <c r="AA33" s="90" t="e">
        <f t="shared" ca="1" si="57"/>
        <v>#VALUE!</v>
      </c>
      <c r="AB33" s="25"/>
      <c r="AC33" s="2" t="e">
        <f t="shared" ca="1" si="14"/>
        <v>#VALUE!</v>
      </c>
      <c r="AD33" s="2" t="e">
        <f t="shared" ref="AD33:AL33" ca="1" si="85">MAX(0,MIN($V33,AD$11*$C33)-AC$11*$C33)*AC$10</f>
        <v>#VALUE!</v>
      </c>
      <c r="AE33" s="2" t="e">
        <f t="shared" ca="1" si="85"/>
        <v>#VALUE!</v>
      </c>
      <c r="AF33" s="2" t="e">
        <f t="shared" ca="1" si="85"/>
        <v>#VALUE!</v>
      </c>
      <c r="AG33" s="2" t="e">
        <f t="shared" ca="1" si="85"/>
        <v>#VALUE!</v>
      </c>
      <c r="AH33" s="2" t="e">
        <f t="shared" ca="1" si="85"/>
        <v>#VALUE!</v>
      </c>
      <c r="AI33" s="2" t="e">
        <f t="shared" ca="1" si="85"/>
        <v>#VALUE!</v>
      </c>
      <c r="AJ33" s="2" t="e">
        <f t="shared" ca="1" si="85"/>
        <v>#VALUE!</v>
      </c>
      <c r="AK33" s="2" t="e">
        <f t="shared" ca="1" si="85"/>
        <v>#VALUE!</v>
      </c>
      <c r="AL33" s="2" t="e">
        <f t="shared" ca="1" si="85"/>
        <v>#VALUE!</v>
      </c>
      <c r="AM33" s="25"/>
      <c r="AN33" s="2" t="e">
        <f t="shared" ca="1" si="16"/>
        <v>#VALUE!</v>
      </c>
      <c r="AO33" s="2" t="e">
        <f t="shared" ca="1" si="17"/>
        <v>#VALUE!</v>
      </c>
      <c r="AP33" s="25"/>
      <c r="AQ33" s="2" t="e">
        <f t="shared" ca="1" si="18"/>
        <v>#VALUE!</v>
      </c>
      <c r="AR33" s="2" t="e">
        <f t="shared" ref="AR33:AZ33" ca="1" si="86">MAX(0,MIN($R33,AR$11*$C33)-AQ$11*$C33)*AQ$10</f>
        <v>#VALUE!</v>
      </c>
      <c r="AS33" s="2" t="e">
        <f t="shared" ca="1" si="86"/>
        <v>#VALUE!</v>
      </c>
      <c r="AT33" s="2" t="e">
        <f t="shared" ca="1" si="86"/>
        <v>#VALUE!</v>
      </c>
      <c r="AU33" s="2" t="e">
        <f t="shared" ca="1" si="86"/>
        <v>#VALUE!</v>
      </c>
      <c r="AV33" s="2" t="e">
        <f t="shared" ca="1" si="86"/>
        <v>#VALUE!</v>
      </c>
      <c r="AW33" s="2" t="e">
        <f t="shared" ca="1" si="86"/>
        <v>#VALUE!</v>
      </c>
      <c r="AX33" s="2" t="e">
        <f t="shared" ca="1" si="86"/>
        <v>#VALUE!</v>
      </c>
      <c r="AY33" s="2" t="e">
        <f t="shared" ca="1" si="86"/>
        <v>#VALUE!</v>
      </c>
      <c r="AZ33" s="2" t="e">
        <f t="shared" ca="1" si="86"/>
        <v>#VALUE!</v>
      </c>
      <c r="BA33" s="25"/>
      <c r="BB33" s="2">
        <f t="shared" ca="1" si="20"/>
        <v>0</v>
      </c>
      <c r="BC33" s="2">
        <f t="shared" ref="BC33:BK33" ca="1" si="87">MAX(0,MIN($W33,BC$11*$C33)-BB$11*$C33)*BB$10</f>
        <v>0</v>
      </c>
      <c r="BD33" s="2">
        <f t="shared" ca="1" si="87"/>
        <v>0</v>
      </c>
      <c r="BE33" s="2">
        <f t="shared" ca="1" si="87"/>
        <v>0</v>
      </c>
      <c r="BF33" s="2">
        <f t="shared" ca="1" si="87"/>
        <v>0</v>
      </c>
      <c r="BG33" s="2">
        <f t="shared" ca="1" si="87"/>
        <v>0</v>
      </c>
      <c r="BH33" s="2">
        <f t="shared" ca="1" si="87"/>
        <v>0</v>
      </c>
      <c r="BI33" s="2">
        <f t="shared" ca="1" si="87"/>
        <v>0</v>
      </c>
      <c r="BJ33" s="2">
        <f t="shared" ca="1" si="87"/>
        <v>0</v>
      </c>
      <c r="BK33" s="2">
        <f t="shared" ca="1" si="87"/>
        <v>0</v>
      </c>
      <c r="BL33" s="25"/>
      <c r="BM33" s="145" t="e">
        <f t="shared" ca="1" si="22"/>
        <v>#VALUE!</v>
      </c>
      <c r="BN33" s="145" t="e">
        <f t="shared" ca="1" si="23"/>
        <v>#VALUE!</v>
      </c>
      <c r="BO33" s="145" t="e">
        <f t="shared" ca="1" si="24"/>
        <v>#VALUE!</v>
      </c>
      <c r="BP33" s="145" t="e">
        <f t="shared" ca="1" si="25"/>
        <v>#VALUE!</v>
      </c>
      <c r="BQ33" s="145">
        <f t="shared" ca="1" si="26"/>
        <v>0</v>
      </c>
      <c r="BR33" s="145" t="e">
        <f t="shared" ca="1" si="40"/>
        <v>#VALUE!</v>
      </c>
      <c r="BS33" s="145" t="e">
        <f t="shared" ca="1" si="28"/>
        <v>#VALUE!</v>
      </c>
      <c r="BT33" s="145" t="e">
        <f t="shared" ca="1" si="29"/>
        <v>#VALUE!</v>
      </c>
      <c r="BU33" s="145" t="e">
        <f t="shared" ca="1" si="30"/>
        <v>#VALUE!</v>
      </c>
      <c r="BV33" s="145" t="e">
        <f t="shared" ca="1" si="31"/>
        <v>#VALUE!</v>
      </c>
      <c r="BW33" s="146" t="e">
        <f t="shared" ca="1" si="32"/>
        <v>#VALUE!</v>
      </c>
      <c r="BX33" s="146" t="e">
        <f t="shared" ca="1" si="33"/>
        <v>#VALUE!</v>
      </c>
      <c r="BY33" s="146" t="e">
        <f t="shared" ca="1" si="34"/>
        <v>#VALUE!</v>
      </c>
    </row>
    <row r="34" spans="1:77" x14ac:dyDescent="0.25">
      <c r="A34" s="14">
        <f t="shared" ref="A34:B49" si="88">+A33+1</f>
        <v>18</v>
      </c>
      <c r="B34" s="14">
        <f t="shared" si="88"/>
        <v>58</v>
      </c>
      <c r="C34" s="38">
        <f t="shared" si="4"/>
        <v>1.4282462475762727</v>
      </c>
      <c r="D34" s="25"/>
      <c r="E34" s="74">
        <f>+SUMIFS(Income!D28:K28,Income!D$5:K$5,FALSE)</f>
        <v>231423.16158576182</v>
      </c>
      <c r="F34" s="74" t="str">
        <f ca="1">+Investments!P29</f>
        <v>EXPIRED</v>
      </c>
      <c r="G34" s="74" t="e">
        <f t="shared" ca="1" si="5"/>
        <v>#VALUE!</v>
      </c>
      <c r="H34" s="5">
        <f>+SUMIFS(Income!D28:K28,Income!D$5:K$5,TRUE)</f>
        <v>0</v>
      </c>
      <c r="I34" s="5" t="str">
        <f ca="1">+Investments!Q29</f>
        <v>EXPIRED</v>
      </c>
      <c r="J34" s="5">
        <f ca="1">+RealEstate!G23</f>
        <v>0</v>
      </c>
      <c r="K34" s="5">
        <f t="shared" ca="1" si="6"/>
        <v>0</v>
      </c>
      <c r="L34" s="5">
        <f t="shared" ca="1" si="7"/>
        <v>0</v>
      </c>
      <c r="M34" s="25"/>
      <c r="N34" s="77" t="str">
        <f ca="1">+Investments!N29</f>
        <v>EXPIRED</v>
      </c>
      <c r="O34" s="77">
        <f t="shared" ca="1" si="8"/>
        <v>0</v>
      </c>
      <c r="P34" s="25"/>
      <c r="Q34" s="32" t="e">
        <f t="shared" ca="1" si="41"/>
        <v>#VALUE!</v>
      </c>
      <c r="R34" s="32" t="e">
        <f t="shared" ca="1" si="10"/>
        <v>#VALUE!</v>
      </c>
      <c r="S34" s="32" t="e">
        <f ca="1">+AQ34+RealEstate!H23</f>
        <v>#VALUE!</v>
      </c>
      <c r="T34" s="32">
        <f ca="1">+RealEstate!I23</f>
        <v>0</v>
      </c>
      <c r="U34" s="32" t="e">
        <f t="shared" ca="1" si="11"/>
        <v>#VALUE!</v>
      </c>
      <c r="V34" s="32" t="e">
        <f t="shared" ca="1" si="36"/>
        <v>#VALUE!</v>
      </c>
      <c r="W34" s="32">
        <f t="shared" ca="1" si="12"/>
        <v>0</v>
      </c>
      <c r="Z34" s="25"/>
      <c r="AA34" s="90" t="e">
        <f t="shared" ca="1" si="57"/>
        <v>#VALUE!</v>
      </c>
      <c r="AB34" s="25"/>
      <c r="AC34" s="2" t="e">
        <f t="shared" ca="1" si="14"/>
        <v>#VALUE!</v>
      </c>
      <c r="AD34" s="2" t="e">
        <f t="shared" ref="AD34:AL34" ca="1" si="89">MAX(0,MIN($V34,AD$11*$C34)-AC$11*$C34)*AC$10</f>
        <v>#VALUE!</v>
      </c>
      <c r="AE34" s="2" t="e">
        <f t="shared" ca="1" si="89"/>
        <v>#VALUE!</v>
      </c>
      <c r="AF34" s="2" t="e">
        <f t="shared" ca="1" si="89"/>
        <v>#VALUE!</v>
      </c>
      <c r="AG34" s="2" t="e">
        <f t="shared" ca="1" si="89"/>
        <v>#VALUE!</v>
      </c>
      <c r="AH34" s="2" t="e">
        <f t="shared" ca="1" si="89"/>
        <v>#VALUE!</v>
      </c>
      <c r="AI34" s="2" t="e">
        <f t="shared" ca="1" si="89"/>
        <v>#VALUE!</v>
      </c>
      <c r="AJ34" s="2" t="e">
        <f t="shared" ca="1" si="89"/>
        <v>#VALUE!</v>
      </c>
      <c r="AK34" s="2" t="e">
        <f t="shared" ca="1" si="89"/>
        <v>#VALUE!</v>
      </c>
      <c r="AL34" s="2" t="e">
        <f t="shared" ca="1" si="89"/>
        <v>#VALUE!</v>
      </c>
      <c r="AM34" s="25"/>
      <c r="AN34" s="2" t="e">
        <f t="shared" ca="1" si="16"/>
        <v>#VALUE!</v>
      </c>
      <c r="AO34" s="2" t="e">
        <f t="shared" ca="1" si="17"/>
        <v>#VALUE!</v>
      </c>
      <c r="AP34" s="25"/>
      <c r="AQ34" s="2" t="e">
        <f t="shared" ca="1" si="18"/>
        <v>#VALUE!</v>
      </c>
      <c r="AR34" s="2" t="e">
        <f t="shared" ref="AR34:AZ34" ca="1" si="90">MAX(0,MIN($R34,AR$11*$C34)-AQ$11*$C34)*AQ$10</f>
        <v>#VALUE!</v>
      </c>
      <c r="AS34" s="2" t="e">
        <f t="shared" ca="1" si="90"/>
        <v>#VALUE!</v>
      </c>
      <c r="AT34" s="2" t="e">
        <f t="shared" ca="1" si="90"/>
        <v>#VALUE!</v>
      </c>
      <c r="AU34" s="2" t="e">
        <f t="shared" ca="1" si="90"/>
        <v>#VALUE!</v>
      </c>
      <c r="AV34" s="2" t="e">
        <f t="shared" ca="1" si="90"/>
        <v>#VALUE!</v>
      </c>
      <c r="AW34" s="2" t="e">
        <f t="shared" ca="1" si="90"/>
        <v>#VALUE!</v>
      </c>
      <c r="AX34" s="2" t="e">
        <f t="shared" ca="1" si="90"/>
        <v>#VALUE!</v>
      </c>
      <c r="AY34" s="2" t="e">
        <f t="shared" ca="1" si="90"/>
        <v>#VALUE!</v>
      </c>
      <c r="AZ34" s="2" t="e">
        <f t="shared" ca="1" si="90"/>
        <v>#VALUE!</v>
      </c>
      <c r="BA34" s="25"/>
      <c r="BB34" s="2">
        <f t="shared" ca="1" si="20"/>
        <v>0</v>
      </c>
      <c r="BC34" s="2">
        <f t="shared" ref="BC34:BK34" ca="1" si="91">MAX(0,MIN($W34,BC$11*$C34)-BB$11*$C34)*BB$10</f>
        <v>0</v>
      </c>
      <c r="BD34" s="2">
        <f t="shared" ca="1" si="91"/>
        <v>0</v>
      </c>
      <c r="BE34" s="2">
        <f t="shared" ca="1" si="91"/>
        <v>0</v>
      </c>
      <c r="BF34" s="2">
        <f t="shared" ca="1" si="91"/>
        <v>0</v>
      </c>
      <c r="BG34" s="2">
        <f t="shared" ca="1" si="91"/>
        <v>0</v>
      </c>
      <c r="BH34" s="2">
        <f t="shared" ca="1" si="91"/>
        <v>0</v>
      </c>
      <c r="BI34" s="2">
        <f t="shared" ca="1" si="91"/>
        <v>0</v>
      </c>
      <c r="BJ34" s="2">
        <f t="shared" ca="1" si="91"/>
        <v>0</v>
      </c>
      <c r="BK34" s="2">
        <f t="shared" ca="1" si="91"/>
        <v>0</v>
      </c>
      <c r="BL34" s="25"/>
      <c r="BM34" s="145" t="e">
        <f t="shared" ca="1" si="22"/>
        <v>#VALUE!</v>
      </c>
      <c r="BN34" s="145" t="e">
        <f t="shared" ca="1" si="23"/>
        <v>#VALUE!</v>
      </c>
      <c r="BO34" s="145" t="e">
        <f t="shared" ca="1" si="24"/>
        <v>#VALUE!</v>
      </c>
      <c r="BP34" s="145" t="e">
        <f t="shared" ca="1" si="25"/>
        <v>#VALUE!</v>
      </c>
      <c r="BQ34" s="145">
        <f t="shared" ca="1" si="26"/>
        <v>0</v>
      </c>
      <c r="BR34" s="145" t="e">
        <f t="shared" ca="1" si="40"/>
        <v>#VALUE!</v>
      </c>
      <c r="BS34" s="145" t="e">
        <f t="shared" ca="1" si="28"/>
        <v>#VALUE!</v>
      </c>
      <c r="BT34" s="145" t="e">
        <f t="shared" ca="1" si="29"/>
        <v>#VALUE!</v>
      </c>
      <c r="BU34" s="145" t="e">
        <f t="shared" ca="1" si="30"/>
        <v>#VALUE!</v>
      </c>
      <c r="BV34" s="145" t="e">
        <f t="shared" ca="1" si="31"/>
        <v>#VALUE!</v>
      </c>
      <c r="BW34" s="146" t="e">
        <f t="shared" ca="1" si="32"/>
        <v>#VALUE!</v>
      </c>
      <c r="BX34" s="146" t="e">
        <f t="shared" ca="1" si="33"/>
        <v>#VALUE!</v>
      </c>
      <c r="BY34" s="146" t="e">
        <f t="shared" ca="1" si="34"/>
        <v>#VALUE!</v>
      </c>
    </row>
    <row r="35" spans="1:77" x14ac:dyDescent="0.25">
      <c r="A35" s="14">
        <f t="shared" si="88"/>
        <v>19</v>
      </c>
      <c r="B35" s="14">
        <f t="shared" si="88"/>
        <v>59</v>
      </c>
      <c r="C35" s="38">
        <f t="shared" si="4"/>
        <v>1.4568111725277981</v>
      </c>
      <c r="D35" s="25"/>
      <c r="E35" s="74">
        <f>+SUMIFS(Income!D29:K29,Income!D$5:K$5,FALSE)</f>
        <v>236928.12226439238</v>
      </c>
      <c r="F35" s="74" t="str">
        <f ca="1">+Investments!P30</f>
        <v>EXPIRED</v>
      </c>
      <c r="G35" s="74" t="e">
        <f t="shared" ca="1" si="5"/>
        <v>#VALUE!</v>
      </c>
      <c r="H35" s="5">
        <f>+SUMIFS(Income!D29:K29,Income!D$5:K$5,TRUE)</f>
        <v>0</v>
      </c>
      <c r="I35" s="5" t="str">
        <f ca="1">+Investments!Q30</f>
        <v>EXPIRED</v>
      </c>
      <c r="J35" s="5">
        <f ca="1">+RealEstate!G24</f>
        <v>0</v>
      </c>
      <c r="K35" s="5">
        <f t="shared" ca="1" si="6"/>
        <v>0</v>
      </c>
      <c r="L35" s="5">
        <f t="shared" ca="1" si="7"/>
        <v>0</v>
      </c>
      <c r="M35" s="25"/>
      <c r="N35" s="77" t="str">
        <f ca="1">+Investments!N30</f>
        <v>EXPIRED</v>
      </c>
      <c r="O35" s="77">
        <f t="shared" ca="1" si="8"/>
        <v>0</v>
      </c>
      <c r="P35" s="25"/>
      <c r="Q35" s="32" t="e">
        <f t="shared" ca="1" si="41"/>
        <v>#VALUE!</v>
      </c>
      <c r="R35" s="32" t="e">
        <f t="shared" ca="1" si="10"/>
        <v>#VALUE!</v>
      </c>
      <c r="S35" s="32" t="e">
        <f ca="1">+AQ35+RealEstate!H24</f>
        <v>#VALUE!</v>
      </c>
      <c r="T35" s="32">
        <f ca="1">+RealEstate!I24</f>
        <v>0</v>
      </c>
      <c r="U35" s="32" t="e">
        <f t="shared" ca="1" si="11"/>
        <v>#VALUE!</v>
      </c>
      <c r="V35" s="32" t="e">
        <f t="shared" ca="1" si="36"/>
        <v>#VALUE!</v>
      </c>
      <c r="W35" s="32">
        <f t="shared" ca="1" si="12"/>
        <v>0</v>
      </c>
      <c r="Z35" s="25"/>
      <c r="AA35" s="90" t="e">
        <f t="shared" ca="1" si="57"/>
        <v>#VALUE!</v>
      </c>
      <c r="AB35" s="25"/>
      <c r="AC35" s="2" t="e">
        <f t="shared" ca="1" si="14"/>
        <v>#VALUE!</v>
      </c>
      <c r="AD35" s="2" t="e">
        <f t="shared" ref="AD35:AL35" ca="1" si="92">MAX(0,MIN($V35,AD$11*$C35)-AC$11*$C35)*AC$10</f>
        <v>#VALUE!</v>
      </c>
      <c r="AE35" s="2" t="e">
        <f t="shared" ca="1" si="92"/>
        <v>#VALUE!</v>
      </c>
      <c r="AF35" s="2" t="e">
        <f t="shared" ca="1" si="92"/>
        <v>#VALUE!</v>
      </c>
      <c r="AG35" s="2" t="e">
        <f t="shared" ca="1" si="92"/>
        <v>#VALUE!</v>
      </c>
      <c r="AH35" s="2" t="e">
        <f t="shared" ca="1" si="92"/>
        <v>#VALUE!</v>
      </c>
      <c r="AI35" s="2" t="e">
        <f t="shared" ca="1" si="92"/>
        <v>#VALUE!</v>
      </c>
      <c r="AJ35" s="2" t="e">
        <f t="shared" ca="1" si="92"/>
        <v>#VALUE!</v>
      </c>
      <c r="AK35" s="2" t="e">
        <f t="shared" ca="1" si="92"/>
        <v>#VALUE!</v>
      </c>
      <c r="AL35" s="2" t="e">
        <f t="shared" ca="1" si="92"/>
        <v>#VALUE!</v>
      </c>
      <c r="AM35" s="25"/>
      <c r="AN35" s="2" t="e">
        <f t="shared" ca="1" si="16"/>
        <v>#VALUE!</v>
      </c>
      <c r="AO35" s="2" t="e">
        <f t="shared" ca="1" si="17"/>
        <v>#VALUE!</v>
      </c>
      <c r="AP35" s="25"/>
      <c r="AQ35" s="2" t="e">
        <f t="shared" ca="1" si="18"/>
        <v>#VALUE!</v>
      </c>
      <c r="AR35" s="2" t="e">
        <f t="shared" ref="AR35:AZ35" ca="1" si="93">MAX(0,MIN($R35,AR$11*$C35)-AQ$11*$C35)*AQ$10</f>
        <v>#VALUE!</v>
      </c>
      <c r="AS35" s="2" t="e">
        <f t="shared" ca="1" si="93"/>
        <v>#VALUE!</v>
      </c>
      <c r="AT35" s="2" t="e">
        <f t="shared" ca="1" si="93"/>
        <v>#VALUE!</v>
      </c>
      <c r="AU35" s="2" t="e">
        <f t="shared" ca="1" si="93"/>
        <v>#VALUE!</v>
      </c>
      <c r="AV35" s="2" t="e">
        <f t="shared" ca="1" si="93"/>
        <v>#VALUE!</v>
      </c>
      <c r="AW35" s="2" t="e">
        <f t="shared" ca="1" si="93"/>
        <v>#VALUE!</v>
      </c>
      <c r="AX35" s="2" t="e">
        <f t="shared" ca="1" si="93"/>
        <v>#VALUE!</v>
      </c>
      <c r="AY35" s="2" t="e">
        <f t="shared" ca="1" si="93"/>
        <v>#VALUE!</v>
      </c>
      <c r="AZ35" s="2" t="e">
        <f t="shared" ca="1" si="93"/>
        <v>#VALUE!</v>
      </c>
      <c r="BA35" s="25"/>
      <c r="BB35" s="2">
        <f t="shared" ca="1" si="20"/>
        <v>0</v>
      </c>
      <c r="BC35" s="2">
        <f t="shared" ref="BC35:BK35" ca="1" si="94">MAX(0,MIN($W35,BC$11*$C35)-BB$11*$C35)*BB$10</f>
        <v>0</v>
      </c>
      <c r="BD35" s="2">
        <f t="shared" ca="1" si="94"/>
        <v>0</v>
      </c>
      <c r="BE35" s="2">
        <f t="shared" ca="1" si="94"/>
        <v>0</v>
      </c>
      <c r="BF35" s="2">
        <f t="shared" ca="1" si="94"/>
        <v>0</v>
      </c>
      <c r="BG35" s="2">
        <f t="shared" ca="1" si="94"/>
        <v>0</v>
      </c>
      <c r="BH35" s="2">
        <f t="shared" ca="1" si="94"/>
        <v>0</v>
      </c>
      <c r="BI35" s="2">
        <f t="shared" ca="1" si="94"/>
        <v>0</v>
      </c>
      <c r="BJ35" s="2">
        <f t="shared" ca="1" si="94"/>
        <v>0</v>
      </c>
      <c r="BK35" s="2">
        <f t="shared" ca="1" si="94"/>
        <v>0</v>
      </c>
      <c r="BL35" s="25"/>
      <c r="BM35" s="145" t="e">
        <f t="shared" ca="1" si="22"/>
        <v>#VALUE!</v>
      </c>
      <c r="BN35" s="145" t="e">
        <f t="shared" ca="1" si="23"/>
        <v>#VALUE!</v>
      </c>
      <c r="BO35" s="145" t="e">
        <f t="shared" ca="1" si="24"/>
        <v>#VALUE!</v>
      </c>
      <c r="BP35" s="145" t="e">
        <f t="shared" ca="1" si="25"/>
        <v>#VALUE!</v>
      </c>
      <c r="BQ35" s="145">
        <f t="shared" ca="1" si="26"/>
        <v>0</v>
      </c>
      <c r="BR35" s="145" t="e">
        <f t="shared" ca="1" si="40"/>
        <v>#VALUE!</v>
      </c>
      <c r="BS35" s="145" t="e">
        <f t="shared" ca="1" si="28"/>
        <v>#VALUE!</v>
      </c>
      <c r="BT35" s="145" t="e">
        <f t="shared" ca="1" si="29"/>
        <v>#VALUE!</v>
      </c>
      <c r="BU35" s="145" t="e">
        <f t="shared" ca="1" si="30"/>
        <v>#VALUE!</v>
      </c>
      <c r="BV35" s="145" t="e">
        <f t="shared" ca="1" si="31"/>
        <v>#VALUE!</v>
      </c>
      <c r="BW35" s="146" t="e">
        <f t="shared" ca="1" si="32"/>
        <v>#VALUE!</v>
      </c>
      <c r="BX35" s="146" t="e">
        <f t="shared" ca="1" si="33"/>
        <v>#VALUE!</v>
      </c>
      <c r="BY35" s="146" t="e">
        <f t="shared" ca="1" si="34"/>
        <v>#VALUE!</v>
      </c>
    </row>
    <row r="36" spans="1:77" x14ac:dyDescent="0.25">
      <c r="A36" s="14">
        <f t="shared" si="88"/>
        <v>20</v>
      </c>
      <c r="B36" s="14">
        <f t="shared" si="88"/>
        <v>60</v>
      </c>
      <c r="C36" s="38">
        <f t="shared" si="4"/>
        <v>1.4859473959783542</v>
      </c>
      <c r="D36" s="25"/>
      <c r="E36" s="74">
        <f>+SUMIFS(Income!D30:K30,Income!D$5:K$5,FALSE)</f>
        <v>242605.41347532661</v>
      </c>
      <c r="F36" s="74" t="str">
        <f ca="1">+Investments!P31</f>
        <v>EXPIRED</v>
      </c>
      <c r="G36" s="74" t="e">
        <f t="shared" ca="1" si="5"/>
        <v>#VALUE!</v>
      </c>
      <c r="H36" s="5">
        <f>+SUMIFS(Income!D30:K30,Income!D$5:K$5,TRUE)</f>
        <v>0</v>
      </c>
      <c r="I36" s="5" t="str">
        <f ca="1">+Investments!Q31</f>
        <v>EXPIRED</v>
      </c>
      <c r="J36" s="5">
        <f ca="1">+RealEstate!G25</f>
        <v>0</v>
      </c>
      <c r="K36" s="5">
        <f t="shared" ca="1" si="6"/>
        <v>0</v>
      </c>
      <c r="L36" s="5">
        <f t="shared" ca="1" si="7"/>
        <v>0</v>
      </c>
      <c r="M36" s="25"/>
      <c r="N36" s="77" t="str">
        <f ca="1">+Investments!N31</f>
        <v>EXPIRED</v>
      </c>
      <c r="O36" s="77">
        <f t="shared" ca="1" si="8"/>
        <v>0</v>
      </c>
      <c r="P36" s="25"/>
      <c r="Q36" s="32" t="e">
        <f t="shared" ca="1" si="41"/>
        <v>#VALUE!</v>
      </c>
      <c r="R36" s="32" t="e">
        <f t="shared" ca="1" si="10"/>
        <v>#VALUE!</v>
      </c>
      <c r="S36" s="32" t="e">
        <f ca="1">+AQ36+RealEstate!H25</f>
        <v>#VALUE!</v>
      </c>
      <c r="T36" s="32">
        <f ca="1">+RealEstate!I25</f>
        <v>0</v>
      </c>
      <c r="U36" s="32" t="e">
        <f t="shared" ca="1" si="11"/>
        <v>#VALUE!</v>
      </c>
      <c r="V36" s="32" t="e">
        <f t="shared" ca="1" si="36"/>
        <v>#VALUE!</v>
      </c>
      <c r="W36" s="32">
        <f t="shared" ca="1" si="12"/>
        <v>0</v>
      </c>
      <c r="Z36" s="25"/>
      <c r="AA36" s="90" t="e">
        <f t="shared" ca="1" si="57"/>
        <v>#VALUE!</v>
      </c>
      <c r="AB36" s="25"/>
      <c r="AC36" s="2" t="e">
        <f t="shared" ca="1" si="14"/>
        <v>#VALUE!</v>
      </c>
      <c r="AD36" s="2" t="e">
        <f t="shared" ref="AD36:AL36" ca="1" si="95">MAX(0,MIN($V36,AD$11*$C36)-AC$11*$C36)*AC$10</f>
        <v>#VALUE!</v>
      </c>
      <c r="AE36" s="2" t="e">
        <f t="shared" ca="1" si="95"/>
        <v>#VALUE!</v>
      </c>
      <c r="AF36" s="2" t="e">
        <f t="shared" ca="1" si="95"/>
        <v>#VALUE!</v>
      </c>
      <c r="AG36" s="2" t="e">
        <f t="shared" ca="1" si="95"/>
        <v>#VALUE!</v>
      </c>
      <c r="AH36" s="2" t="e">
        <f t="shared" ca="1" si="95"/>
        <v>#VALUE!</v>
      </c>
      <c r="AI36" s="2" t="e">
        <f t="shared" ca="1" si="95"/>
        <v>#VALUE!</v>
      </c>
      <c r="AJ36" s="2" t="e">
        <f t="shared" ca="1" si="95"/>
        <v>#VALUE!</v>
      </c>
      <c r="AK36" s="2" t="e">
        <f t="shared" ca="1" si="95"/>
        <v>#VALUE!</v>
      </c>
      <c r="AL36" s="2" t="e">
        <f t="shared" ca="1" si="95"/>
        <v>#VALUE!</v>
      </c>
      <c r="AM36" s="25"/>
      <c r="AN36" s="2" t="e">
        <f t="shared" ca="1" si="16"/>
        <v>#VALUE!</v>
      </c>
      <c r="AO36" s="2" t="e">
        <f t="shared" ca="1" si="17"/>
        <v>#VALUE!</v>
      </c>
      <c r="AP36" s="25"/>
      <c r="AQ36" s="2" t="e">
        <f t="shared" ca="1" si="18"/>
        <v>#VALUE!</v>
      </c>
      <c r="AR36" s="2" t="e">
        <f t="shared" ref="AR36:AZ36" ca="1" si="96">MAX(0,MIN($R36,AR$11*$C36)-AQ$11*$C36)*AQ$10</f>
        <v>#VALUE!</v>
      </c>
      <c r="AS36" s="2" t="e">
        <f t="shared" ca="1" si="96"/>
        <v>#VALUE!</v>
      </c>
      <c r="AT36" s="2" t="e">
        <f t="shared" ca="1" si="96"/>
        <v>#VALUE!</v>
      </c>
      <c r="AU36" s="2" t="e">
        <f t="shared" ca="1" si="96"/>
        <v>#VALUE!</v>
      </c>
      <c r="AV36" s="2" t="e">
        <f t="shared" ca="1" si="96"/>
        <v>#VALUE!</v>
      </c>
      <c r="AW36" s="2" t="e">
        <f t="shared" ca="1" si="96"/>
        <v>#VALUE!</v>
      </c>
      <c r="AX36" s="2" t="e">
        <f t="shared" ca="1" si="96"/>
        <v>#VALUE!</v>
      </c>
      <c r="AY36" s="2" t="e">
        <f t="shared" ca="1" si="96"/>
        <v>#VALUE!</v>
      </c>
      <c r="AZ36" s="2" t="e">
        <f t="shared" ca="1" si="96"/>
        <v>#VALUE!</v>
      </c>
      <c r="BA36" s="25"/>
      <c r="BB36" s="2">
        <f t="shared" ca="1" si="20"/>
        <v>0</v>
      </c>
      <c r="BC36" s="2">
        <f t="shared" ref="BC36:BK36" ca="1" si="97">MAX(0,MIN($W36,BC$11*$C36)-BB$11*$C36)*BB$10</f>
        <v>0</v>
      </c>
      <c r="BD36" s="2">
        <f t="shared" ca="1" si="97"/>
        <v>0</v>
      </c>
      <c r="BE36" s="2">
        <f t="shared" ca="1" si="97"/>
        <v>0</v>
      </c>
      <c r="BF36" s="2">
        <f t="shared" ca="1" si="97"/>
        <v>0</v>
      </c>
      <c r="BG36" s="2">
        <f t="shared" ca="1" si="97"/>
        <v>0</v>
      </c>
      <c r="BH36" s="2">
        <f t="shared" ca="1" si="97"/>
        <v>0</v>
      </c>
      <c r="BI36" s="2">
        <f t="shared" ca="1" si="97"/>
        <v>0</v>
      </c>
      <c r="BJ36" s="2">
        <f t="shared" ca="1" si="97"/>
        <v>0</v>
      </c>
      <c r="BK36" s="2">
        <f t="shared" ca="1" si="97"/>
        <v>0</v>
      </c>
      <c r="BL36" s="25"/>
      <c r="BM36" s="145" t="e">
        <f t="shared" ca="1" si="22"/>
        <v>#VALUE!</v>
      </c>
      <c r="BN36" s="145" t="e">
        <f t="shared" ca="1" si="23"/>
        <v>#VALUE!</v>
      </c>
      <c r="BO36" s="145" t="e">
        <f t="shared" ca="1" si="24"/>
        <v>#VALUE!</v>
      </c>
      <c r="BP36" s="145" t="e">
        <f t="shared" ca="1" si="25"/>
        <v>#VALUE!</v>
      </c>
      <c r="BQ36" s="145">
        <f t="shared" ca="1" si="26"/>
        <v>0</v>
      </c>
      <c r="BR36" s="145" t="e">
        <f t="shared" ca="1" si="40"/>
        <v>#VALUE!</v>
      </c>
      <c r="BS36" s="145" t="e">
        <f t="shared" ca="1" si="28"/>
        <v>#VALUE!</v>
      </c>
      <c r="BT36" s="145" t="e">
        <f t="shared" ca="1" si="29"/>
        <v>#VALUE!</v>
      </c>
      <c r="BU36" s="145" t="e">
        <f t="shared" ca="1" si="30"/>
        <v>#VALUE!</v>
      </c>
      <c r="BV36" s="145" t="e">
        <f t="shared" ca="1" si="31"/>
        <v>#VALUE!</v>
      </c>
      <c r="BW36" s="146" t="e">
        <f t="shared" ca="1" si="32"/>
        <v>#VALUE!</v>
      </c>
      <c r="BX36" s="146" t="e">
        <f t="shared" ca="1" si="33"/>
        <v>#VALUE!</v>
      </c>
      <c r="BY36" s="146" t="e">
        <f t="shared" ca="1" si="34"/>
        <v>#VALUE!</v>
      </c>
    </row>
    <row r="37" spans="1:77" x14ac:dyDescent="0.25">
      <c r="A37" s="14">
        <f t="shared" si="88"/>
        <v>21</v>
      </c>
      <c r="B37" s="14">
        <f t="shared" si="88"/>
        <v>61</v>
      </c>
      <c r="C37" s="38">
        <f t="shared" si="4"/>
        <v>1.5156663438979212</v>
      </c>
      <c r="D37" s="25"/>
      <c r="E37" s="74">
        <f>+SUMIFS(Income!D31:K31,Income!D$5:K$5,FALSE)</f>
        <v>248462.90025284037</v>
      </c>
      <c r="F37" s="74" t="str">
        <f ca="1">+Investments!P32</f>
        <v>EXPIRED</v>
      </c>
      <c r="G37" s="74" t="e">
        <f t="shared" ca="1" si="5"/>
        <v>#VALUE!</v>
      </c>
      <c r="H37" s="5">
        <f>+SUMIFS(Income!D31:K31,Income!D$5:K$5,TRUE)</f>
        <v>0</v>
      </c>
      <c r="I37" s="5" t="str">
        <f ca="1">+Investments!Q32</f>
        <v>EXPIRED</v>
      </c>
      <c r="J37" s="5">
        <f ca="1">+RealEstate!G26</f>
        <v>0</v>
      </c>
      <c r="K37" s="5">
        <f t="shared" ca="1" si="6"/>
        <v>0</v>
      </c>
      <c r="L37" s="5">
        <f t="shared" ca="1" si="7"/>
        <v>0</v>
      </c>
      <c r="M37" s="25"/>
      <c r="N37" s="77" t="str">
        <f ca="1">+Investments!N32</f>
        <v>EXPIRED</v>
      </c>
      <c r="O37" s="77">
        <f t="shared" ca="1" si="8"/>
        <v>0</v>
      </c>
      <c r="P37" s="25"/>
      <c r="Q37" s="32" t="e">
        <f t="shared" ca="1" si="41"/>
        <v>#VALUE!</v>
      </c>
      <c r="R37" s="32" t="e">
        <f t="shared" ca="1" si="10"/>
        <v>#VALUE!</v>
      </c>
      <c r="S37" s="32" t="e">
        <f ca="1">+AQ37+RealEstate!H26</f>
        <v>#VALUE!</v>
      </c>
      <c r="T37" s="32">
        <f ca="1">+RealEstate!I26</f>
        <v>0</v>
      </c>
      <c r="U37" s="32" t="e">
        <f t="shared" ca="1" si="11"/>
        <v>#VALUE!</v>
      </c>
      <c r="V37" s="32" t="e">
        <f t="shared" ca="1" si="36"/>
        <v>#VALUE!</v>
      </c>
      <c r="W37" s="32">
        <f t="shared" ca="1" si="12"/>
        <v>0</v>
      </c>
      <c r="Z37" s="25"/>
      <c r="AA37" s="90" t="e">
        <f t="shared" ca="1" si="57"/>
        <v>#VALUE!</v>
      </c>
      <c r="AB37" s="25"/>
      <c r="AC37" s="2" t="e">
        <f t="shared" ca="1" si="14"/>
        <v>#VALUE!</v>
      </c>
      <c r="AD37" s="2" t="e">
        <f t="shared" ref="AD37:AL37" ca="1" si="98">MAX(0,MIN($V37,AD$11*$C37)-AC$11*$C37)*AC$10</f>
        <v>#VALUE!</v>
      </c>
      <c r="AE37" s="2" t="e">
        <f t="shared" ca="1" si="98"/>
        <v>#VALUE!</v>
      </c>
      <c r="AF37" s="2" t="e">
        <f t="shared" ca="1" si="98"/>
        <v>#VALUE!</v>
      </c>
      <c r="AG37" s="2" t="e">
        <f t="shared" ca="1" si="98"/>
        <v>#VALUE!</v>
      </c>
      <c r="AH37" s="2" t="e">
        <f t="shared" ca="1" si="98"/>
        <v>#VALUE!</v>
      </c>
      <c r="AI37" s="2" t="e">
        <f t="shared" ca="1" si="98"/>
        <v>#VALUE!</v>
      </c>
      <c r="AJ37" s="2" t="e">
        <f t="shared" ca="1" si="98"/>
        <v>#VALUE!</v>
      </c>
      <c r="AK37" s="2" t="e">
        <f t="shared" ca="1" si="98"/>
        <v>#VALUE!</v>
      </c>
      <c r="AL37" s="2" t="e">
        <f t="shared" ca="1" si="98"/>
        <v>#VALUE!</v>
      </c>
      <c r="AM37" s="25"/>
      <c r="AN37" s="2" t="e">
        <f t="shared" ca="1" si="16"/>
        <v>#VALUE!</v>
      </c>
      <c r="AO37" s="2" t="e">
        <f t="shared" ca="1" si="17"/>
        <v>#VALUE!</v>
      </c>
      <c r="AP37" s="25"/>
      <c r="AQ37" s="2" t="e">
        <f t="shared" ca="1" si="18"/>
        <v>#VALUE!</v>
      </c>
      <c r="AR37" s="2" t="e">
        <f t="shared" ref="AR37:AZ37" ca="1" si="99">MAX(0,MIN($R37,AR$11*$C37)-AQ$11*$C37)*AQ$10</f>
        <v>#VALUE!</v>
      </c>
      <c r="AS37" s="2" t="e">
        <f t="shared" ca="1" si="99"/>
        <v>#VALUE!</v>
      </c>
      <c r="AT37" s="2" t="e">
        <f t="shared" ca="1" si="99"/>
        <v>#VALUE!</v>
      </c>
      <c r="AU37" s="2" t="e">
        <f t="shared" ca="1" si="99"/>
        <v>#VALUE!</v>
      </c>
      <c r="AV37" s="2" t="e">
        <f t="shared" ca="1" si="99"/>
        <v>#VALUE!</v>
      </c>
      <c r="AW37" s="2" t="e">
        <f t="shared" ca="1" si="99"/>
        <v>#VALUE!</v>
      </c>
      <c r="AX37" s="2" t="e">
        <f t="shared" ca="1" si="99"/>
        <v>#VALUE!</v>
      </c>
      <c r="AY37" s="2" t="e">
        <f t="shared" ca="1" si="99"/>
        <v>#VALUE!</v>
      </c>
      <c r="AZ37" s="2" t="e">
        <f t="shared" ca="1" si="99"/>
        <v>#VALUE!</v>
      </c>
      <c r="BA37" s="25"/>
      <c r="BB37" s="2">
        <f t="shared" ca="1" si="20"/>
        <v>0</v>
      </c>
      <c r="BC37" s="2">
        <f t="shared" ref="BC37:BK37" ca="1" si="100">MAX(0,MIN($W37,BC$11*$C37)-BB$11*$C37)*BB$10</f>
        <v>0</v>
      </c>
      <c r="BD37" s="2">
        <f t="shared" ca="1" si="100"/>
        <v>0</v>
      </c>
      <c r="BE37" s="2">
        <f t="shared" ca="1" si="100"/>
        <v>0</v>
      </c>
      <c r="BF37" s="2">
        <f t="shared" ca="1" si="100"/>
        <v>0</v>
      </c>
      <c r="BG37" s="2">
        <f t="shared" ca="1" si="100"/>
        <v>0</v>
      </c>
      <c r="BH37" s="2">
        <f t="shared" ca="1" si="100"/>
        <v>0</v>
      </c>
      <c r="BI37" s="2">
        <f t="shared" ca="1" si="100"/>
        <v>0</v>
      </c>
      <c r="BJ37" s="2">
        <f t="shared" ca="1" si="100"/>
        <v>0</v>
      </c>
      <c r="BK37" s="2">
        <f t="shared" ca="1" si="100"/>
        <v>0</v>
      </c>
      <c r="BL37" s="25"/>
      <c r="BM37" s="145" t="e">
        <f t="shared" ca="1" si="22"/>
        <v>#VALUE!</v>
      </c>
      <c r="BN37" s="145" t="e">
        <f t="shared" ca="1" si="23"/>
        <v>#VALUE!</v>
      </c>
      <c r="BO37" s="145" t="e">
        <f t="shared" ca="1" si="24"/>
        <v>#VALUE!</v>
      </c>
      <c r="BP37" s="145" t="e">
        <f t="shared" ca="1" si="25"/>
        <v>#VALUE!</v>
      </c>
      <c r="BQ37" s="145">
        <f t="shared" ca="1" si="26"/>
        <v>0</v>
      </c>
      <c r="BR37" s="145" t="e">
        <f t="shared" ca="1" si="40"/>
        <v>#VALUE!</v>
      </c>
      <c r="BS37" s="145" t="e">
        <f t="shared" ca="1" si="28"/>
        <v>#VALUE!</v>
      </c>
      <c r="BT37" s="145" t="e">
        <f t="shared" ca="1" si="29"/>
        <v>#VALUE!</v>
      </c>
      <c r="BU37" s="145" t="e">
        <f t="shared" ca="1" si="30"/>
        <v>#VALUE!</v>
      </c>
      <c r="BV37" s="145" t="e">
        <f t="shared" ca="1" si="31"/>
        <v>#VALUE!</v>
      </c>
      <c r="BW37" s="146" t="e">
        <f t="shared" ca="1" si="32"/>
        <v>#VALUE!</v>
      </c>
      <c r="BX37" s="146" t="e">
        <f t="shared" ca="1" si="33"/>
        <v>#VALUE!</v>
      </c>
      <c r="BY37" s="146" t="e">
        <f t="shared" ca="1" si="34"/>
        <v>#VALUE!</v>
      </c>
    </row>
    <row r="38" spans="1:77" x14ac:dyDescent="0.25">
      <c r="A38" s="14">
        <f t="shared" si="88"/>
        <v>22</v>
      </c>
      <c r="B38" s="14">
        <f t="shared" si="88"/>
        <v>62</v>
      </c>
      <c r="C38" s="38">
        <f t="shared" si="4"/>
        <v>1.5459796707758797</v>
      </c>
      <c r="D38" s="25"/>
      <c r="E38" s="74">
        <f>+SUMIFS(Income!D32:K32,Income!D$5:K$5,FALSE)</f>
        <v>254508.91863997295</v>
      </c>
      <c r="F38" s="74" t="str">
        <f ca="1">+Investments!P33</f>
        <v>EXPIRED</v>
      </c>
      <c r="G38" s="74" t="e">
        <f t="shared" ca="1" si="5"/>
        <v>#VALUE!</v>
      </c>
      <c r="H38" s="5">
        <f>+SUMIFS(Income!D32:K32,Income!D$5:K$5,TRUE)</f>
        <v>0</v>
      </c>
      <c r="I38" s="5" t="str">
        <f ca="1">+Investments!Q33</f>
        <v>EXPIRED</v>
      </c>
      <c r="J38" s="5">
        <f ca="1">+RealEstate!G27</f>
        <v>0</v>
      </c>
      <c r="K38" s="5">
        <f t="shared" ca="1" si="6"/>
        <v>0</v>
      </c>
      <c r="L38" s="5">
        <f t="shared" ca="1" si="7"/>
        <v>0</v>
      </c>
      <c r="M38" s="25"/>
      <c r="N38" s="77" t="str">
        <f ca="1">+Investments!N33</f>
        <v>EXPIRED</v>
      </c>
      <c r="O38" s="77">
        <f t="shared" ca="1" si="8"/>
        <v>0</v>
      </c>
      <c r="P38" s="25"/>
      <c r="Q38" s="32" t="e">
        <f t="shared" ca="1" si="41"/>
        <v>#VALUE!</v>
      </c>
      <c r="R38" s="32" t="e">
        <f t="shared" ca="1" si="10"/>
        <v>#VALUE!</v>
      </c>
      <c r="S38" s="32" t="e">
        <f ca="1">+AQ38+RealEstate!H27</f>
        <v>#VALUE!</v>
      </c>
      <c r="T38" s="32">
        <f ca="1">+RealEstate!I27</f>
        <v>0</v>
      </c>
      <c r="U38" s="32" t="e">
        <f t="shared" ca="1" si="11"/>
        <v>#VALUE!</v>
      </c>
      <c r="V38" s="32" t="e">
        <f t="shared" ca="1" si="36"/>
        <v>#VALUE!</v>
      </c>
      <c r="W38" s="32">
        <f t="shared" ca="1" si="12"/>
        <v>0</v>
      </c>
      <c r="Z38" s="25"/>
      <c r="AA38" s="90" t="e">
        <f t="shared" ca="1" si="57"/>
        <v>#VALUE!</v>
      </c>
      <c r="AB38" s="25"/>
      <c r="AC38" s="2" t="e">
        <f t="shared" ca="1" si="14"/>
        <v>#VALUE!</v>
      </c>
      <c r="AD38" s="2" t="e">
        <f t="shared" ref="AD38:AL38" ca="1" si="101">MAX(0,MIN($V38,AD$11*$C38)-AC$11*$C38)*AC$10</f>
        <v>#VALUE!</v>
      </c>
      <c r="AE38" s="2" t="e">
        <f t="shared" ca="1" si="101"/>
        <v>#VALUE!</v>
      </c>
      <c r="AF38" s="2" t="e">
        <f t="shared" ca="1" si="101"/>
        <v>#VALUE!</v>
      </c>
      <c r="AG38" s="2" t="e">
        <f t="shared" ca="1" si="101"/>
        <v>#VALUE!</v>
      </c>
      <c r="AH38" s="2" t="e">
        <f t="shared" ca="1" si="101"/>
        <v>#VALUE!</v>
      </c>
      <c r="AI38" s="2" t="e">
        <f t="shared" ca="1" si="101"/>
        <v>#VALUE!</v>
      </c>
      <c r="AJ38" s="2" t="e">
        <f t="shared" ca="1" si="101"/>
        <v>#VALUE!</v>
      </c>
      <c r="AK38" s="2" t="e">
        <f t="shared" ca="1" si="101"/>
        <v>#VALUE!</v>
      </c>
      <c r="AL38" s="2" t="e">
        <f t="shared" ca="1" si="101"/>
        <v>#VALUE!</v>
      </c>
      <c r="AM38" s="25"/>
      <c r="AN38" s="2" t="e">
        <f t="shared" ca="1" si="16"/>
        <v>#VALUE!</v>
      </c>
      <c r="AO38" s="2" t="e">
        <f t="shared" ca="1" si="17"/>
        <v>#VALUE!</v>
      </c>
      <c r="AP38" s="25"/>
      <c r="AQ38" s="2" t="e">
        <f t="shared" ca="1" si="18"/>
        <v>#VALUE!</v>
      </c>
      <c r="AR38" s="2" t="e">
        <f t="shared" ref="AR38:AZ38" ca="1" si="102">MAX(0,MIN($R38,AR$11*$C38)-AQ$11*$C38)*AQ$10</f>
        <v>#VALUE!</v>
      </c>
      <c r="AS38" s="2" t="e">
        <f t="shared" ca="1" si="102"/>
        <v>#VALUE!</v>
      </c>
      <c r="AT38" s="2" t="e">
        <f t="shared" ca="1" si="102"/>
        <v>#VALUE!</v>
      </c>
      <c r="AU38" s="2" t="e">
        <f t="shared" ca="1" si="102"/>
        <v>#VALUE!</v>
      </c>
      <c r="AV38" s="2" t="e">
        <f t="shared" ca="1" si="102"/>
        <v>#VALUE!</v>
      </c>
      <c r="AW38" s="2" t="e">
        <f t="shared" ca="1" si="102"/>
        <v>#VALUE!</v>
      </c>
      <c r="AX38" s="2" t="e">
        <f t="shared" ca="1" si="102"/>
        <v>#VALUE!</v>
      </c>
      <c r="AY38" s="2" t="e">
        <f t="shared" ca="1" si="102"/>
        <v>#VALUE!</v>
      </c>
      <c r="AZ38" s="2" t="e">
        <f t="shared" ca="1" si="102"/>
        <v>#VALUE!</v>
      </c>
      <c r="BA38" s="25"/>
      <c r="BB38" s="2">
        <f t="shared" ca="1" si="20"/>
        <v>0</v>
      </c>
      <c r="BC38" s="2">
        <f t="shared" ref="BC38:BK38" ca="1" si="103">MAX(0,MIN($W38,BC$11*$C38)-BB$11*$C38)*BB$10</f>
        <v>0</v>
      </c>
      <c r="BD38" s="2">
        <f t="shared" ca="1" si="103"/>
        <v>0</v>
      </c>
      <c r="BE38" s="2">
        <f t="shared" ca="1" si="103"/>
        <v>0</v>
      </c>
      <c r="BF38" s="2">
        <f t="shared" ca="1" si="103"/>
        <v>0</v>
      </c>
      <c r="BG38" s="2">
        <f t="shared" ca="1" si="103"/>
        <v>0</v>
      </c>
      <c r="BH38" s="2">
        <f t="shared" ca="1" si="103"/>
        <v>0</v>
      </c>
      <c r="BI38" s="2">
        <f t="shared" ca="1" si="103"/>
        <v>0</v>
      </c>
      <c r="BJ38" s="2">
        <f t="shared" ca="1" si="103"/>
        <v>0</v>
      </c>
      <c r="BK38" s="2">
        <f t="shared" ca="1" si="103"/>
        <v>0</v>
      </c>
      <c r="BL38" s="25"/>
      <c r="BM38" s="145" t="e">
        <f t="shared" ca="1" si="22"/>
        <v>#VALUE!</v>
      </c>
      <c r="BN38" s="145" t="e">
        <f t="shared" ca="1" si="23"/>
        <v>#VALUE!</v>
      </c>
      <c r="BO38" s="145" t="e">
        <f t="shared" ca="1" si="24"/>
        <v>#VALUE!</v>
      </c>
      <c r="BP38" s="145" t="e">
        <f t="shared" ca="1" si="25"/>
        <v>#VALUE!</v>
      </c>
      <c r="BQ38" s="145">
        <f t="shared" ca="1" si="26"/>
        <v>0</v>
      </c>
      <c r="BR38" s="145" t="e">
        <f t="shared" ca="1" si="40"/>
        <v>#VALUE!</v>
      </c>
      <c r="BS38" s="145" t="e">
        <f t="shared" ca="1" si="28"/>
        <v>#VALUE!</v>
      </c>
      <c r="BT38" s="145" t="e">
        <f t="shared" ca="1" si="29"/>
        <v>#VALUE!</v>
      </c>
      <c r="BU38" s="145" t="e">
        <f t="shared" ca="1" si="30"/>
        <v>#VALUE!</v>
      </c>
      <c r="BV38" s="145" t="e">
        <f t="shared" ca="1" si="31"/>
        <v>#VALUE!</v>
      </c>
      <c r="BW38" s="146" t="e">
        <f t="shared" ca="1" si="32"/>
        <v>#VALUE!</v>
      </c>
      <c r="BX38" s="146" t="e">
        <f t="shared" ca="1" si="33"/>
        <v>#VALUE!</v>
      </c>
      <c r="BY38" s="146" t="e">
        <f t="shared" ca="1" si="34"/>
        <v>#VALUE!</v>
      </c>
    </row>
    <row r="39" spans="1:77" x14ac:dyDescent="0.25">
      <c r="A39" s="14">
        <f t="shared" si="88"/>
        <v>23</v>
      </c>
      <c r="B39" s="14">
        <f t="shared" si="88"/>
        <v>63</v>
      </c>
      <c r="C39" s="38">
        <f t="shared" si="4"/>
        <v>1.576899264191397</v>
      </c>
      <c r="D39" s="25"/>
      <c r="E39" s="74">
        <f>+SUMIFS(Income!D33:K33,Income!D$5:K$5,FALSE)</f>
        <v>260752.30738197552</v>
      </c>
      <c r="F39" s="74" t="str">
        <f ca="1">+Investments!P34</f>
        <v>EXPIRED</v>
      </c>
      <c r="G39" s="74" t="e">
        <f t="shared" ca="1" si="5"/>
        <v>#VALUE!</v>
      </c>
      <c r="H39" s="5">
        <f>+SUMIFS(Income!D33:K33,Income!D$5:K$5,TRUE)</f>
        <v>0</v>
      </c>
      <c r="I39" s="5" t="str">
        <f ca="1">+Investments!Q34</f>
        <v>EXPIRED</v>
      </c>
      <c r="J39" s="5">
        <f ca="1">+RealEstate!G28</f>
        <v>0</v>
      </c>
      <c r="K39" s="5">
        <f t="shared" ca="1" si="6"/>
        <v>0</v>
      </c>
      <c r="L39" s="5">
        <f t="shared" ca="1" si="7"/>
        <v>0</v>
      </c>
      <c r="M39" s="25"/>
      <c r="N39" s="77" t="str">
        <f ca="1">+Investments!N34</f>
        <v>EXPIRED</v>
      </c>
      <c r="O39" s="77">
        <f t="shared" ca="1" si="8"/>
        <v>0</v>
      </c>
      <c r="P39" s="25"/>
      <c r="Q39" s="32" t="e">
        <f t="shared" ca="1" si="41"/>
        <v>#VALUE!</v>
      </c>
      <c r="R39" s="32" t="e">
        <f t="shared" ca="1" si="10"/>
        <v>#VALUE!</v>
      </c>
      <c r="S39" s="32" t="e">
        <f ca="1">+AQ39+RealEstate!H28</f>
        <v>#VALUE!</v>
      </c>
      <c r="T39" s="32">
        <f ca="1">+RealEstate!I28</f>
        <v>0</v>
      </c>
      <c r="U39" s="32" t="e">
        <f t="shared" ca="1" si="11"/>
        <v>#VALUE!</v>
      </c>
      <c r="V39" s="32" t="e">
        <f t="shared" ca="1" si="36"/>
        <v>#VALUE!</v>
      </c>
      <c r="W39" s="32">
        <f t="shared" ca="1" si="12"/>
        <v>0</v>
      </c>
      <c r="Z39" s="25"/>
      <c r="AA39" s="90" t="e">
        <f t="shared" ca="1" si="57"/>
        <v>#VALUE!</v>
      </c>
      <c r="AB39" s="25"/>
      <c r="AC39" s="2" t="e">
        <f t="shared" ca="1" si="14"/>
        <v>#VALUE!</v>
      </c>
      <c r="AD39" s="2" t="e">
        <f t="shared" ref="AD39:AL39" ca="1" si="104">MAX(0,MIN($V39,AD$11*$C39)-AC$11*$C39)*AC$10</f>
        <v>#VALUE!</v>
      </c>
      <c r="AE39" s="2" t="e">
        <f t="shared" ca="1" si="104"/>
        <v>#VALUE!</v>
      </c>
      <c r="AF39" s="2" t="e">
        <f t="shared" ca="1" si="104"/>
        <v>#VALUE!</v>
      </c>
      <c r="AG39" s="2" t="e">
        <f t="shared" ca="1" si="104"/>
        <v>#VALUE!</v>
      </c>
      <c r="AH39" s="2" t="e">
        <f t="shared" ca="1" si="104"/>
        <v>#VALUE!</v>
      </c>
      <c r="AI39" s="2" t="e">
        <f t="shared" ca="1" si="104"/>
        <v>#VALUE!</v>
      </c>
      <c r="AJ39" s="2" t="e">
        <f t="shared" ca="1" si="104"/>
        <v>#VALUE!</v>
      </c>
      <c r="AK39" s="2" t="e">
        <f t="shared" ca="1" si="104"/>
        <v>#VALUE!</v>
      </c>
      <c r="AL39" s="2" t="e">
        <f t="shared" ca="1" si="104"/>
        <v>#VALUE!</v>
      </c>
      <c r="AM39" s="25"/>
      <c r="AN39" s="2" t="e">
        <f t="shared" ca="1" si="16"/>
        <v>#VALUE!</v>
      </c>
      <c r="AO39" s="2" t="e">
        <f t="shared" ca="1" si="17"/>
        <v>#VALUE!</v>
      </c>
      <c r="AP39" s="25"/>
      <c r="AQ39" s="2" t="e">
        <f t="shared" ca="1" si="18"/>
        <v>#VALUE!</v>
      </c>
      <c r="AR39" s="2" t="e">
        <f t="shared" ref="AR39:AZ39" ca="1" si="105">MAX(0,MIN($R39,AR$11*$C39)-AQ$11*$C39)*AQ$10</f>
        <v>#VALUE!</v>
      </c>
      <c r="AS39" s="2" t="e">
        <f t="shared" ca="1" si="105"/>
        <v>#VALUE!</v>
      </c>
      <c r="AT39" s="2" t="e">
        <f t="shared" ca="1" si="105"/>
        <v>#VALUE!</v>
      </c>
      <c r="AU39" s="2" t="e">
        <f t="shared" ca="1" si="105"/>
        <v>#VALUE!</v>
      </c>
      <c r="AV39" s="2" t="e">
        <f t="shared" ca="1" si="105"/>
        <v>#VALUE!</v>
      </c>
      <c r="AW39" s="2" t="e">
        <f t="shared" ca="1" si="105"/>
        <v>#VALUE!</v>
      </c>
      <c r="AX39" s="2" t="e">
        <f t="shared" ca="1" si="105"/>
        <v>#VALUE!</v>
      </c>
      <c r="AY39" s="2" t="e">
        <f t="shared" ca="1" si="105"/>
        <v>#VALUE!</v>
      </c>
      <c r="AZ39" s="2" t="e">
        <f t="shared" ca="1" si="105"/>
        <v>#VALUE!</v>
      </c>
      <c r="BA39" s="25"/>
      <c r="BB39" s="2">
        <f t="shared" ca="1" si="20"/>
        <v>0</v>
      </c>
      <c r="BC39" s="2">
        <f t="shared" ref="BC39:BK39" ca="1" si="106">MAX(0,MIN($W39,BC$11*$C39)-BB$11*$C39)*BB$10</f>
        <v>0</v>
      </c>
      <c r="BD39" s="2">
        <f t="shared" ca="1" si="106"/>
        <v>0</v>
      </c>
      <c r="BE39" s="2">
        <f t="shared" ca="1" si="106"/>
        <v>0</v>
      </c>
      <c r="BF39" s="2">
        <f t="shared" ca="1" si="106"/>
        <v>0</v>
      </c>
      <c r="BG39" s="2">
        <f t="shared" ca="1" si="106"/>
        <v>0</v>
      </c>
      <c r="BH39" s="2">
        <f t="shared" ca="1" si="106"/>
        <v>0</v>
      </c>
      <c r="BI39" s="2">
        <f t="shared" ca="1" si="106"/>
        <v>0</v>
      </c>
      <c r="BJ39" s="2">
        <f t="shared" ca="1" si="106"/>
        <v>0</v>
      </c>
      <c r="BK39" s="2">
        <f t="shared" ca="1" si="106"/>
        <v>0</v>
      </c>
      <c r="BL39" s="25"/>
      <c r="BM39" s="145" t="e">
        <f t="shared" ca="1" si="22"/>
        <v>#VALUE!</v>
      </c>
      <c r="BN39" s="145" t="e">
        <f t="shared" ca="1" si="23"/>
        <v>#VALUE!</v>
      </c>
      <c r="BO39" s="145" t="e">
        <f t="shared" ca="1" si="24"/>
        <v>#VALUE!</v>
      </c>
      <c r="BP39" s="145" t="e">
        <f t="shared" ca="1" si="25"/>
        <v>#VALUE!</v>
      </c>
      <c r="BQ39" s="145">
        <f t="shared" ca="1" si="26"/>
        <v>0</v>
      </c>
      <c r="BR39" s="145" t="e">
        <f t="shared" ca="1" si="40"/>
        <v>#VALUE!</v>
      </c>
      <c r="BS39" s="145" t="e">
        <f t="shared" ca="1" si="28"/>
        <v>#VALUE!</v>
      </c>
      <c r="BT39" s="145" t="e">
        <f t="shared" ca="1" si="29"/>
        <v>#VALUE!</v>
      </c>
      <c r="BU39" s="145" t="e">
        <f t="shared" ca="1" si="30"/>
        <v>#VALUE!</v>
      </c>
      <c r="BV39" s="145" t="e">
        <f t="shared" ca="1" si="31"/>
        <v>#VALUE!</v>
      </c>
      <c r="BW39" s="146" t="e">
        <f t="shared" ca="1" si="32"/>
        <v>#VALUE!</v>
      </c>
      <c r="BX39" s="146" t="e">
        <f t="shared" ca="1" si="33"/>
        <v>#VALUE!</v>
      </c>
      <c r="BY39" s="146" t="e">
        <f t="shared" ca="1" si="34"/>
        <v>#VALUE!</v>
      </c>
    </row>
    <row r="40" spans="1:77" x14ac:dyDescent="0.25">
      <c r="A40" s="14">
        <f t="shared" si="88"/>
        <v>24</v>
      </c>
      <c r="B40" s="14">
        <f t="shared" si="88"/>
        <v>64</v>
      </c>
      <c r="C40" s="38">
        <f t="shared" si="4"/>
        <v>1.608437249475225</v>
      </c>
      <c r="D40" s="25"/>
      <c r="E40" s="74">
        <f>+SUMIFS(Income!D34:K34,Income!D$5:K$5,FALSE)</f>
        <v>267202.44183503161</v>
      </c>
      <c r="F40" s="74" t="str">
        <f ca="1">+Investments!P35</f>
        <v>EXPIRED</v>
      </c>
      <c r="G40" s="74" t="e">
        <f t="shared" ca="1" si="5"/>
        <v>#VALUE!</v>
      </c>
      <c r="H40" s="5">
        <f>+SUMIFS(Income!D34:K34,Income!D$5:K$5,TRUE)</f>
        <v>0</v>
      </c>
      <c r="I40" s="5" t="str">
        <f ca="1">+Investments!Q35</f>
        <v>EXPIRED</v>
      </c>
      <c r="J40" s="5">
        <f ca="1">+RealEstate!G29</f>
        <v>0</v>
      </c>
      <c r="K40" s="5">
        <f t="shared" ca="1" si="6"/>
        <v>0</v>
      </c>
      <c r="L40" s="5">
        <f t="shared" ca="1" si="7"/>
        <v>0</v>
      </c>
      <c r="M40" s="25"/>
      <c r="N40" s="77" t="str">
        <f ca="1">+Investments!N35</f>
        <v>EXPIRED</v>
      </c>
      <c r="O40" s="77">
        <f t="shared" ca="1" si="8"/>
        <v>0</v>
      </c>
      <c r="P40" s="25"/>
      <c r="Q40" s="32" t="e">
        <f t="shared" ca="1" si="41"/>
        <v>#VALUE!</v>
      </c>
      <c r="R40" s="32" t="e">
        <f t="shared" ca="1" si="10"/>
        <v>#VALUE!</v>
      </c>
      <c r="S40" s="32" t="e">
        <f ca="1">+AQ40+RealEstate!H29</f>
        <v>#VALUE!</v>
      </c>
      <c r="T40" s="32">
        <f ca="1">+RealEstate!I29</f>
        <v>0</v>
      </c>
      <c r="U40" s="32" t="e">
        <f t="shared" ca="1" si="11"/>
        <v>#VALUE!</v>
      </c>
      <c r="V40" s="32" t="e">
        <f t="shared" ca="1" si="36"/>
        <v>#VALUE!</v>
      </c>
      <c r="W40" s="32">
        <f t="shared" ca="1" si="12"/>
        <v>0</v>
      </c>
      <c r="Z40" s="25"/>
      <c r="AA40" s="90" t="e">
        <f t="shared" ca="1" si="57"/>
        <v>#VALUE!</v>
      </c>
      <c r="AB40" s="25"/>
      <c r="AC40" s="2" t="e">
        <f t="shared" ca="1" si="14"/>
        <v>#VALUE!</v>
      </c>
      <c r="AD40" s="2" t="e">
        <f t="shared" ref="AD40:AL40" ca="1" si="107">MAX(0,MIN($V40,AD$11*$C40)-AC$11*$C40)*AC$10</f>
        <v>#VALUE!</v>
      </c>
      <c r="AE40" s="2" t="e">
        <f t="shared" ca="1" si="107"/>
        <v>#VALUE!</v>
      </c>
      <c r="AF40" s="2" t="e">
        <f t="shared" ca="1" si="107"/>
        <v>#VALUE!</v>
      </c>
      <c r="AG40" s="2" t="e">
        <f t="shared" ca="1" si="107"/>
        <v>#VALUE!</v>
      </c>
      <c r="AH40" s="2" t="e">
        <f t="shared" ca="1" si="107"/>
        <v>#VALUE!</v>
      </c>
      <c r="AI40" s="2" t="e">
        <f t="shared" ca="1" si="107"/>
        <v>#VALUE!</v>
      </c>
      <c r="AJ40" s="2" t="e">
        <f t="shared" ca="1" si="107"/>
        <v>#VALUE!</v>
      </c>
      <c r="AK40" s="2" t="e">
        <f t="shared" ca="1" si="107"/>
        <v>#VALUE!</v>
      </c>
      <c r="AL40" s="2" t="e">
        <f t="shared" ca="1" si="107"/>
        <v>#VALUE!</v>
      </c>
      <c r="AM40" s="25"/>
      <c r="AN40" s="2" t="e">
        <f t="shared" ca="1" si="16"/>
        <v>#VALUE!</v>
      </c>
      <c r="AO40" s="2" t="e">
        <f t="shared" ca="1" si="17"/>
        <v>#VALUE!</v>
      </c>
      <c r="AP40" s="25"/>
      <c r="AQ40" s="2" t="e">
        <f t="shared" ca="1" si="18"/>
        <v>#VALUE!</v>
      </c>
      <c r="AR40" s="2" t="e">
        <f t="shared" ref="AR40:AZ40" ca="1" si="108">MAX(0,MIN($R40,AR$11*$C40)-AQ$11*$C40)*AQ$10</f>
        <v>#VALUE!</v>
      </c>
      <c r="AS40" s="2" t="e">
        <f t="shared" ca="1" si="108"/>
        <v>#VALUE!</v>
      </c>
      <c r="AT40" s="2" t="e">
        <f t="shared" ca="1" si="108"/>
        <v>#VALUE!</v>
      </c>
      <c r="AU40" s="2" t="e">
        <f t="shared" ca="1" si="108"/>
        <v>#VALUE!</v>
      </c>
      <c r="AV40" s="2" t="e">
        <f t="shared" ca="1" si="108"/>
        <v>#VALUE!</v>
      </c>
      <c r="AW40" s="2" t="e">
        <f t="shared" ca="1" si="108"/>
        <v>#VALUE!</v>
      </c>
      <c r="AX40" s="2" t="e">
        <f t="shared" ca="1" si="108"/>
        <v>#VALUE!</v>
      </c>
      <c r="AY40" s="2" t="e">
        <f t="shared" ca="1" si="108"/>
        <v>#VALUE!</v>
      </c>
      <c r="AZ40" s="2" t="e">
        <f t="shared" ca="1" si="108"/>
        <v>#VALUE!</v>
      </c>
      <c r="BA40" s="25"/>
      <c r="BB40" s="2">
        <f t="shared" ca="1" si="20"/>
        <v>0</v>
      </c>
      <c r="BC40" s="2">
        <f t="shared" ref="BC40:BK40" ca="1" si="109">MAX(0,MIN($W40,BC$11*$C40)-BB$11*$C40)*BB$10</f>
        <v>0</v>
      </c>
      <c r="BD40" s="2">
        <f t="shared" ca="1" si="109"/>
        <v>0</v>
      </c>
      <c r="BE40" s="2">
        <f t="shared" ca="1" si="109"/>
        <v>0</v>
      </c>
      <c r="BF40" s="2">
        <f t="shared" ca="1" si="109"/>
        <v>0</v>
      </c>
      <c r="BG40" s="2">
        <f t="shared" ca="1" si="109"/>
        <v>0</v>
      </c>
      <c r="BH40" s="2">
        <f t="shared" ca="1" si="109"/>
        <v>0</v>
      </c>
      <c r="BI40" s="2">
        <f t="shared" ca="1" si="109"/>
        <v>0</v>
      </c>
      <c r="BJ40" s="2">
        <f t="shared" ca="1" si="109"/>
        <v>0</v>
      </c>
      <c r="BK40" s="2">
        <f t="shared" ca="1" si="109"/>
        <v>0</v>
      </c>
      <c r="BL40" s="25"/>
      <c r="BM40" s="145" t="e">
        <f t="shared" ca="1" si="22"/>
        <v>#VALUE!</v>
      </c>
      <c r="BN40" s="145" t="e">
        <f t="shared" ca="1" si="23"/>
        <v>#VALUE!</v>
      </c>
      <c r="BO40" s="145" t="e">
        <f t="shared" ca="1" si="24"/>
        <v>#VALUE!</v>
      </c>
      <c r="BP40" s="145" t="e">
        <f t="shared" ca="1" si="25"/>
        <v>#VALUE!</v>
      </c>
      <c r="BQ40" s="145">
        <f t="shared" ca="1" si="26"/>
        <v>0</v>
      </c>
      <c r="BR40" s="145" t="e">
        <f t="shared" ca="1" si="40"/>
        <v>#VALUE!</v>
      </c>
      <c r="BS40" s="145" t="e">
        <f t="shared" ca="1" si="28"/>
        <v>#VALUE!</v>
      </c>
      <c r="BT40" s="145" t="e">
        <f t="shared" ca="1" si="29"/>
        <v>#VALUE!</v>
      </c>
      <c r="BU40" s="145" t="e">
        <f t="shared" ca="1" si="30"/>
        <v>#VALUE!</v>
      </c>
      <c r="BV40" s="145" t="e">
        <f t="shared" ca="1" si="31"/>
        <v>#VALUE!</v>
      </c>
      <c r="BW40" s="146" t="e">
        <f t="shared" ca="1" si="32"/>
        <v>#VALUE!</v>
      </c>
      <c r="BX40" s="146" t="e">
        <f t="shared" ca="1" si="33"/>
        <v>#VALUE!</v>
      </c>
      <c r="BY40" s="146" t="e">
        <f t="shared" ca="1" si="34"/>
        <v>#VALUE!</v>
      </c>
    </row>
    <row r="41" spans="1:77" x14ac:dyDescent="0.25">
      <c r="A41" s="14">
        <f t="shared" si="88"/>
        <v>25</v>
      </c>
      <c r="B41" s="14">
        <f t="shared" si="88"/>
        <v>65</v>
      </c>
      <c r="C41" s="38">
        <f t="shared" si="4"/>
        <v>1.6406059944647295</v>
      </c>
      <c r="D41" s="25"/>
      <c r="E41" s="74">
        <f>+SUMIFS(Income!D35:K35,Income!D$5:K$5,FALSE)</f>
        <v>273869.27024683339</v>
      </c>
      <c r="F41" s="74" t="str">
        <f ca="1">+Investments!P36</f>
        <v>EXPIRED</v>
      </c>
      <c r="G41" s="74" t="e">
        <f t="shared" ca="1" si="5"/>
        <v>#VALUE!</v>
      </c>
      <c r="H41" s="5">
        <f>+SUMIFS(Income!D35:K35,Income!D$5:K$5,TRUE)</f>
        <v>0</v>
      </c>
      <c r="I41" s="5" t="str">
        <f ca="1">+Investments!Q36</f>
        <v>EXPIRED</v>
      </c>
      <c r="J41" s="5">
        <f ca="1">+RealEstate!G30</f>
        <v>0</v>
      </c>
      <c r="K41" s="5">
        <f t="shared" ca="1" si="6"/>
        <v>0</v>
      </c>
      <c r="L41" s="5">
        <f t="shared" ca="1" si="7"/>
        <v>0</v>
      </c>
      <c r="M41" s="25"/>
      <c r="N41" s="77" t="str">
        <f ca="1">+Investments!N36</f>
        <v>EXPIRED</v>
      </c>
      <c r="O41" s="77">
        <f t="shared" ca="1" si="8"/>
        <v>0</v>
      </c>
      <c r="P41" s="25"/>
      <c r="Q41" s="32" t="e">
        <f t="shared" ca="1" si="41"/>
        <v>#VALUE!</v>
      </c>
      <c r="R41" s="32" t="e">
        <f t="shared" ca="1" si="10"/>
        <v>#VALUE!</v>
      </c>
      <c r="S41" s="32" t="e">
        <f ca="1">+AQ41+RealEstate!H30</f>
        <v>#VALUE!</v>
      </c>
      <c r="T41" s="32">
        <f ca="1">+RealEstate!I30</f>
        <v>0</v>
      </c>
      <c r="U41" s="32" t="e">
        <f t="shared" ca="1" si="11"/>
        <v>#VALUE!</v>
      </c>
      <c r="V41" s="32" t="e">
        <f t="shared" ca="1" si="36"/>
        <v>#VALUE!</v>
      </c>
      <c r="W41" s="32">
        <f t="shared" ca="1" si="12"/>
        <v>0</v>
      </c>
      <c r="Z41" s="25"/>
      <c r="AA41" s="90" t="e">
        <f t="shared" ca="1" si="57"/>
        <v>#VALUE!</v>
      </c>
      <c r="AB41" s="25"/>
      <c r="AC41" s="2" t="e">
        <f t="shared" ca="1" si="14"/>
        <v>#VALUE!</v>
      </c>
      <c r="AD41" s="2" t="e">
        <f t="shared" ref="AD41:AL41" ca="1" si="110">MAX(0,MIN($V41,AD$11*$C41)-AC$11*$C41)*AC$10</f>
        <v>#VALUE!</v>
      </c>
      <c r="AE41" s="2" t="e">
        <f t="shared" ca="1" si="110"/>
        <v>#VALUE!</v>
      </c>
      <c r="AF41" s="2" t="e">
        <f t="shared" ca="1" si="110"/>
        <v>#VALUE!</v>
      </c>
      <c r="AG41" s="2" t="e">
        <f t="shared" ca="1" si="110"/>
        <v>#VALUE!</v>
      </c>
      <c r="AH41" s="2" t="e">
        <f t="shared" ca="1" si="110"/>
        <v>#VALUE!</v>
      </c>
      <c r="AI41" s="2" t="e">
        <f t="shared" ca="1" si="110"/>
        <v>#VALUE!</v>
      </c>
      <c r="AJ41" s="2" t="e">
        <f t="shared" ca="1" si="110"/>
        <v>#VALUE!</v>
      </c>
      <c r="AK41" s="2" t="e">
        <f t="shared" ca="1" si="110"/>
        <v>#VALUE!</v>
      </c>
      <c r="AL41" s="2" t="e">
        <f t="shared" ca="1" si="110"/>
        <v>#VALUE!</v>
      </c>
      <c r="AM41" s="25"/>
      <c r="AN41" s="2" t="e">
        <f t="shared" ca="1" si="16"/>
        <v>#VALUE!</v>
      </c>
      <c r="AO41" s="2" t="e">
        <f t="shared" ca="1" si="17"/>
        <v>#VALUE!</v>
      </c>
      <c r="AP41" s="25"/>
      <c r="AQ41" s="2" t="e">
        <f t="shared" ca="1" si="18"/>
        <v>#VALUE!</v>
      </c>
      <c r="AR41" s="2" t="e">
        <f t="shared" ref="AR41:AZ41" ca="1" si="111">MAX(0,MIN($R41,AR$11*$C41)-AQ$11*$C41)*AQ$10</f>
        <v>#VALUE!</v>
      </c>
      <c r="AS41" s="2" t="e">
        <f t="shared" ca="1" si="111"/>
        <v>#VALUE!</v>
      </c>
      <c r="AT41" s="2" t="e">
        <f t="shared" ca="1" si="111"/>
        <v>#VALUE!</v>
      </c>
      <c r="AU41" s="2" t="e">
        <f t="shared" ca="1" si="111"/>
        <v>#VALUE!</v>
      </c>
      <c r="AV41" s="2" t="e">
        <f t="shared" ca="1" si="111"/>
        <v>#VALUE!</v>
      </c>
      <c r="AW41" s="2" t="e">
        <f t="shared" ca="1" si="111"/>
        <v>#VALUE!</v>
      </c>
      <c r="AX41" s="2" t="e">
        <f t="shared" ca="1" si="111"/>
        <v>#VALUE!</v>
      </c>
      <c r="AY41" s="2" t="e">
        <f t="shared" ca="1" si="111"/>
        <v>#VALUE!</v>
      </c>
      <c r="AZ41" s="2" t="e">
        <f t="shared" ca="1" si="111"/>
        <v>#VALUE!</v>
      </c>
      <c r="BA41" s="25"/>
      <c r="BB41" s="2">
        <f t="shared" ca="1" si="20"/>
        <v>0</v>
      </c>
      <c r="BC41" s="2">
        <f t="shared" ref="BC41:BK41" ca="1" si="112">MAX(0,MIN($W41,BC$11*$C41)-BB$11*$C41)*BB$10</f>
        <v>0</v>
      </c>
      <c r="BD41" s="2">
        <f t="shared" ca="1" si="112"/>
        <v>0</v>
      </c>
      <c r="BE41" s="2">
        <f t="shared" ca="1" si="112"/>
        <v>0</v>
      </c>
      <c r="BF41" s="2">
        <f t="shared" ca="1" si="112"/>
        <v>0</v>
      </c>
      <c r="BG41" s="2">
        <f t="shared" ca="1" si="112"/>
        <v>0</v>
      </c>
      <c r="BH41" s="2">
        <f t="shared" ca="1" si="112"/>
        <v>0</v>
      </c>
      <c r="BI41" s="2">
        <f t="shared" ca="1" si="112"/>
        <v>0</v>
      </c>
      <c r="BJ41" s="2">
        <f t="shared" ca="1" si="112"/>
        <v>0</v>
      </c>
      <c r="BK41" s="2">
        <f t="shared" ca="1" si="112"/>
        <v>0</v>
      </c>
      <c r="BL41" s="25"/>
      <c r="BM41" s="145" t="e">
        <f t="shared" ca="1" si="22"/>
        <v>#VALUE!</v>
      </c>
      <c r="BN41" s="145" t="e">
        <f t="shared" ca="1" si="23"/>
        <v>#VALUE!</v>
      </c>
      <c r="BO41" s="145" t="e">
        <f t="shared" ca="1" si="24"/>
        <v>#VALUE!</v>
      </c>
      <c r="BP41" s="145" t="e">
        <f t="shared" ca="1" si="25"/>
        <v>#VALUE!</v>
      </c>
      <c r="BQ41" s="145">
        <f t="shared" ca="1" si="26"/>
        <v>0</v>
      </c>
      <c r="BR41" s="145" t="e">
        <f t="shared" ca="1" si="40"/>
        <v>#VALUE!</v>
      </c>
      <c r="BS41" s="145" t="e">
        <f t="shared" ca="1" si="28"/>
        <v>#VALUE!</v>
      </c>
      <c r="BT41" s="145" t="e">
        <f t="shared" ca="1" si="29"/>
        <v>#VALUE!</v>
      </c>
      <c r="BU41" s="145" t="e">
        <f t="shared" ca="1" si="30"/>
        <v>#VALUE!</v>
      </c>
      <c r="BV41" s="145" t="e">
        <f t="shared" ca="1" si="31"/>
        <v>#VALUE!</v>
      </c>
      <c r="BW41" s="146" t="e">
        <f t="shared" ca="1" si="32"/>
        <v>#VALUE!</v>
      </c>
      <c r="BX41" s="146" t="e">
        <f t="shared" ca="1" si="33"/>
        <v>#VALUE!</v>
      </c>
      <c r="BY41" s="146" t="e">
        <f t="shared" ca="1" si="34"/>
        <v>#VALUE!</v>
      </c>
    </row>
    <row r="42" spans="1:77" x14ac:dyDescent="0.25">
      <c r="A42" s="14">
        <f t="shared" si="88"/>
        <v>26</v>
      </c>
      <c r="B42" s="14">
        <f t="shared" si="88"/>
        <v>66</v>
      </c>
      <c r="C42" s="38">
        <f t="shared" si="4"/>
        <v>1.6734181143540243</v>
      </c>
      <c r="D42" s="25"/>
      <c r="E42" s="74">
        <f>+SUMIFS(Income!D36:K36,Income!D$5:K$5,FALSE)</f>
        <v>280763.35257670336</v>
      </c>
      <c r="F42" s="74" t="str">
        <f ca="1">+Investments!P37</f>
        <v>EXPIRED</v>
      </c>
      <c r="G42" s="74" t="e">
        <f t="shared" ca="1" si="5"/>
        <v>#VALUE!</v>
      </c>
      <c r="H42" s="5">
        <f>+SUMIFS(Income!D36:K36,Income!D$5:K$5,TRUE)</f>
        <v>0</v>
      </c>
      <c r="I42" s="5" t="str">
        <f ca="1">+Investments!Q37</f>
        <v>EXPIRED</v>
      </c>
      <c r="J42" s="5">
        <f ca="1">+RealEstate!G31</f>
        <v>0</v>
      </c>
      <c r="K42" s="5">
        <f t="shared" ca="1" si="6"/>
        <v>0</v>
      </c>
      <c r="L42" s="5">
        <f t="shared" ca="1" si="7"/>
        <v>0</v>
      </c>
      <c r="M42" s="25"/>
      <c r="N42" s="77" t="str">
        <f ca="1">+Investments!N37</f>
        <v>EXPIRED</v>
      </c>
      <c r="O42" s="77">
        <f t="shared" ca="1" si="8"/>
        <v>0</v>
      </c>
      <c r="P42" s="25"/>
      <c r="Q42" s="32" t="e">
        <f t="shared" ca="1" si="41"/>
        <v>#VALUE!</v>
      </c>
      <c r="R42" s="32" t="e">
        <f t="shared" ca="1" si="10"/>
        <v>#VALUE!</v>
      </c>
      <c r="S42" s="32" t="e">
        <f ca="1">+AQ42+RealEstate!H31</f>
        <v>#VALUE!</v>
      </c>
      <c r="T42" s="32">
        <f ca="1">+RealEstate!I31</f>
        <v>0</v>
      </c>
      <c r="U42" s="32" t="e">
        <f t="shared" ca="1" si="11"/>
        <v>#VALUE!</v>
      </c>
      <c r="V42" s="32" t="e">
        <f t="shared" ca="1" si="36"/>
        <v>#VALUE!</v>
      </c>
      <c r="W42" s="32">
        <f t="shared" ca="1" si="12"/>
        <v>0</v>
      </c>
      <c r="Z42" s="25"/>
      <c r="AA42" s="90" t="e">
        <f t="shared" ca="1" si="57"/>
        <v>#VALUE!</v>
      </c>
      <c r="AB42" s="25"/>
      <c r="AC42" s="2" t="e">
        <f t="shared" ca="1" si="14"/>
        <v>#VALUE!</v>
      </c>
      <c r="AD42" s="2" t="e">
        <f t="shared" ref="AD42:AL42" ca="1" si="113">MAX(0,MIN($V42,AD$11*$C42)-AC$11*$C42)*AC$10</f>
        <v>#VALUE!</v>
      </c>
      <c r="AE42" s="2" t="e">
        <f t="shared" ca="1" si="113"/>
        <v>#VALUE!</v>
      </c>
      <c r="AF42" s="2" t="e">
        <f t="shared" ca="1" si="113"/>
        <v>#VALUE!</v>
      </c>
      <c r="AG42" s="2" t="e">
        <f t="shared" ca="1" si="113"/>
        <v>#VALUE!</v>
      </c>
      <c r="AH42" s="2" t="e">
        <f t="shared" ca="1" si="113"/>
        <v>#VALUE!</v>
      </c>
      <c r="AI42" s="2" t="e">
        <f t="shared" ca="1" si="113"/>
        <v>#VALUE!</v>
      </c>
      <c r="AJ42" s="2" t="e">
        <f t="shared" ca="1" si="113"/>
        <v>#VALUE!</v>
      </c>
      <c r="AK42" s="2" t="e">
        <f t="shared" ca="1" si="113"/>
        <v>#VALUE!</v>
      </c>
      <c r="AL42" s="2" t="e">
        <f t="shared" ca="1" si="113"/>
        <v>#VALUE!</v>
      </c>
      <c r="AM42" s="25"/>
      <c r="AN42" s="2" t="e">
        <f t="shared" ca="1" si="16"/>
        <v>#VALUE!</v>
      </c>
      <c r="AO42" s="2" t="e">
        <f t="shared" ca="1" si="17"/>
        <v>#VALUE!</v>
      </c>
      <c r="AP42" s="25"/>
      <c r="AQ42" s="2" t="e">
        <f t="shared" ca="1" si="18"/>
        <v>#VALUE!</v>
      </c>
      <c r="AR42" s="2" t="e">
        <f t="shared" ref="AR42:AZ42" ca="1" si="114">MAX(0,MIN($R42,AR$11*$C42)-AQ$11*$C42)*AQ$10</f>
        <v>#VALUE!</v>
      </c>
      <c r="AS42" s="2" t="e">
        <f t="shared" ca="1" si="114"/>
        <v>#VALUE!</v>
      </c>
      <c r="AT42" s="2" t="e">
        <f t="shared" ca="1" si="114"/>
        <v>#VALUE!</v>
      </c>
      <c r="AU42" s="2" t="e">
        <f t="shared" ca="1" si="114"/>
        <v>#VALUE!</v>
      </c>
      <c r="AV42" s="2" t="e">
        <f t="shared" ca="1" si="114"/>
        <v>#VALUE!</v>
      </c>
      <c r="AW42" s="2" t="e">
        <f t="shared" ca="1" si="114"/>
        <v>#VALUE!</v>
      </c>
      <c r="AX42" s="2" t="e">
        <f t="shared" ca="1" si="114"/>
        <v>#VALUE!</v>
      </c>
      <c r="AY42" s="2" t="e">
        <f t="shared" ca="1" si="114"/>
        <v>#VALUE!</v>
      </c>
      <c r="AZ42" s="2" t="e">
        <f t="shared" ca="1" si="114"/>
        <v>#VALUE!</v>
      </c>
      <c r="BA42" s="25"/>
      <c r="BB42" s="2">
        <f t="shared" ca="1" si="20"/>
        <v>0</v>
      </c>
      <c r="BC42" s="2">
        <f t="shared" ref="BC42:BK42" ca="1" si="115">MAX(0,MIN($W42,BC$11*$C42)-BB$11*$C42)*BB$10</f>
        <v>0</v>
      </c>
      <c r="BD42" s="2">
        <f t="shared" ca="1" si="115"/>
        <v>0</v>
      </c>
      <c r="BE42" s="2">
        <f t="shared" ca="1" si="115"/>
        <v>0</v>
      </c>
      <c r="BF42" s="2">
        <f t="shared" ca="1" si="115"/>
        <v>0</v>
      </c>
      <c r="BG42" s="2">
        <f t="shared" ca="1" si="115"/>
        <v>0</v>
      </c>
      <c r="BH42" s="2">
        <f t="shared" ca="1" si="115"/>
        <v>0</v>
      </c>
      <c r="BI42" s="2">
        <f t="shared" ca="1" si="115"/>
        <v>0</v>
      </c>
      <c r="BJ42" s="2">
        <f t="shared" ca="1" si="115"/>
        <v>0</v>
      </c>
      <c r="BK42" s="2">
        <f t="shared" ca="1" si="115"/>
        <v>0</v>
      </c>
      <c r="BL42" s="25"/>
      <c r="BM42" s="145" t="e">
        <f t="shared" ca="1" si="22"/>
        <v>#VALUE!</v>
      </c>
      <c r="BN42" s="145" t="e">
        <f t="shared" ca="1" si="23"/>
        <v>#VALUE!</v>
      </c>
      <c r="BO42" s="145" t="e">
        <f t="shared" ca="1" si="24"/>
        <v>#VALUE!</v>
      </c>
      <c r="BP42" s="145" t="e">
        <f t="shared" ca="1" si="25"/>
        <v>#VALUE!</v>
      </c>
      <c r="BQ42" s="145">
        <f t="shared" ca="1" si="26"/>
        <v>0</v>
      </c>
      <c r="BR42" s="145" t="e">
        <f t="shared" ca="1" si="40"/>
        <v>#VALUE!</v>
      </c>
      <c r="BS42" s="145" t="e">
        <f t="shared" ca="1" si="28"/>
        <v>#VALUE!</v>
      </c>
      <c r="BT42" s="145" t="e">
        <f t="shared" ca="1" si="29"/>
        <v>#VALUE!</v>
      </c>
      <c r="BU42" s="145" t="e">
        <f t="shared" ca="1" si="30"/>
        <v>#VALUE!</v>
      </c>
      <c r="BV42" s="145" t="e">
        <f t="shared" ca="1" si="31"/>
        <v>#VALUE!</v>
      </c>
      <c r="BW42" s="146" t="e">
        <f t="shared" ca="1" si="32"/>
        <v>#VALUE!</v>
      </c>
      <c r="BX42" s="146" t="e">
        <f t="shared" ca="1" si="33"/>
        <v>#VALUE!</v>
      </c>
      <c r="BY42" s="146" t="e">
        <f t="shared" ca="1" si="34"/>
        <v>#VALUE!</v>
      </c>
    </row>
    <row r="43" spans="1:77" x14ac:dyDescent="0.25">
      <c r="A43" s="14">
        <f t="shared" si="88"/>
        <v>27</v>
      </c>
      <c r="B43" s="14">
        <f t="shared" si="88"/>
        <v>67</v>
      </c>
      <c r="C43" s="38">
        <f t="shared" si="4"/>
        <v>1.7068864766411045</v>
      </c>
      <c r="D43" s="25"/>
      <c r="E43" s="74">
        <f>+SUMIFS(Income!D37:K37,Income!D$5:K$5,FALSE)</f>
        <v>330568.06395086861</v>
      </c>
      <c r="F43" s="74" t="str">
        <f ca="1">+Investments!P38</f>
        <v>EXPIRED</v>
      </c>
      <c r="G43" s="74" t="e">
        <f t="shared" ca="1" si="5"/>
        <v>#VALUE!</v>
      </c>
      <c r="H43" s="5">
        <f>+SUMIFS(Income!D37:K37,Income!D$5:K$5,TRUE)</f>
        <v>0</v>
      </c>
      <c r="I43" s="5" t="str">
        <f ca="1">+Investments!Q38</f>
        <v>EXPIRED</v>
      </c>
      <c r="J43" s="5">
        <f ca="1">+RealEstate!G32</f>
        <v>0</v>
      </c>
      <c r="K43" s="5">
        <f t="shared" ca="1" si="6"/>
        <v>0</v>
      </c>
      <c r="L43" s="5">
        <f t="shared" ca="1" si="7"/>
        <v>0</v>
      </c>
      <c r="M43" s="25"/>
      <c r="N43" s="77" t="str">
        <f ca="1">+Investments!N38</f>
        <v>EXPIRED</v>
      </c>
      <c r="O43" s="77">
        <f t="shared" ca="1" si="8"/>
        <v>0</v>
      </c>
      <c r="P43" s="25"/>
      <c r="Q43" s="32" t="e">
        <f t="shared" ca="1" si="41"/>
        <v>#VALUE!</v>
      </c>
      <c r="R43" s="32" t="e">
        <f t="shared" ca="1" si="10"/>
        <v>#VALUE!</v>
      </c>
      <c r="S43" s="32" t="e">
        <f ca="1">+AQ43+RealEstate!H32</f>
        <v>#VALUE!</v>
      </c>
      <c r="T43" s="32">
        <f ca="1">+RealEstate!I32</f>
        <v>0</v>
      </c>
      <c r="U43" s="32" t="e">
        <f t="shared" ca="1" si="11"/>
        <v>#VALUE!</v>
      </c>
      <c r="V43" s="32" t="e">
        <f t="shared" ca="1" si="36"/>
        <v>#VALUE!</v>
      </c>
      <c r="W43" s="32">
        <f t="shared" ca="1" si="12"/>
        <v>0</v>
      </c>
      <c r="Z43" s="25"/>
      <c r="AA43" s="90" t="e">
        <f t="shared" ca="1" si="57"/>
        <v>#VALUE!</v>
      </c>
      <c r="AB43" s="25"/>
      <c r="AC43" s="2" t="e">
        <f t="shared" ca="1" si="14"/>
        <v>#VALUE!</v>
      </c>
      <c r="AD43" s="2" t="e">
        <f t="shared" ref="AD43:AL43" ca="1" si="116">MAX(0,MIN($V43,AD$11*$C43)-AC$11*$C43)*AC$10</f>
        <v>#VALUE!</v>
      </c>
      <c r="AE43" s="2" t="e">
        <f t="shared" ca="1" si="116"/>
        <v>#VALUE!</v>
      </c>
      <c r="AF43" s="2" t="e">
        <f t="shared" ca="1" si="116"/>
        <v>#VALUE!</v>
      </c>
      <c r="AG43" s="2" t="e">
        <f t="shared" ca="1" si="116"/>
        <v>#VALUE!</v>
      </c>
      <c r="AH43" s="2" t="e">
        <f t="shared" ca="1" si="116"/>
        <v>#VALUE!</v>
      </c>
      <c r="AI43" s="2" t="e">
        <f t="shared" ca="1" si="116"/>
        <v>#VALUE!</v>
      </c>
      <c r="AJ43" s="2" t="e">
        <f t="shared" ca="1" si="116"/>
        <v>#VALUE!</v>
      </c>
      <c r="AK43" s="2" t="e">
        <f t="shared" ca="1" si="116"/>
        <v>#VALUE!</v>
      </c>
      <c r="AL43" s="2" t="e">
        <f t="shared" ca="1" si="116"/>
        <v>#VALUE!</v>
      </c>
      <c r="AM43" s="25"/>
      <c r="AN43" s="2" t="e">
        <f t="shared" ca="1" si="16"/>
        <v>#VALUE!</v>
      </c>
      <c r="AO43" s="2" t="e">
        <f t="shared" ca="1" si="17"/>
        <v>#VALUE!</v>
      </c>
      <c r="AP43" s="25"/>
      <c r="AQ43" s="2" t="e">
        <f t="shared" ca="1" si="18"/>
        <v>#VALUE!</v>
      </c>
      <c r="AR43" s="2" t="e">
        <f t="shared" ref="AR43:AZ43" ca="1" si="117">MAX(0,MIN($R43,AR$11*$C43)-AQ$11*$C43)*AQ$10</f>
        <v>#VALUE!</v>
      </c>
      <c r="AS43" s="2" t="e">
        <f t="shared" ca="1" si="117"/>
        <v>#VALUE!</v>
      </c>
      <c r="AT43" s="2" t="e">
        <f t="shared" ca="1" si="117"/>
        <v>#VALUE!</v>
      </c>
      <c r="AU43" s="2" t="e">
        <f t="shared" ca="1" si="117"/>
        <v>#VALUE!</v>
      </c>
      <c r="AV43" s="2" t="e">
        <f t="shared" ca="1" si="117"/>
        <v>#VALUE!</v>
      </c>
      <c r="AW43" s="2" t="e">
        <f t="shared" ca="1" si="117"/>
        <v>#VALUE!</v>
      </c>
      <c r="AX43" s="2" t="e">
        <f t="shared" ca="1" si="117"/>
        <v>#VALUE!</v>
      </c>
      <c r="AY43" s="2" t="e">
        <f t="shared" ca="1" si="117"/>
        <v>#VALUE!</v>
      </c>
      <c r="AZ43" s="2" t="e">
        <f t="shared" ca="1" si="117"/>
        <v>#VALUE!</v>
      </c>
      <c r="BA43" s="25"/>
      <c r="BB43" s="2">
        <f t="shared" ca="1" si="20"/>
        <v>0</v>
      </c>
      <c r="BC43" s="2">
        <f t="shared" ref="BC43:BK43" ca="1" si="118">MAX(0,MIN($W43,BC$11*$C43)-BB$11*$C43)*BB$10</f>
        <v>0</v>
      </c>
      <c r="BD43" s="2">
        <f t="shared" ca="1" si="118"/>
        <v>0</v>
      </c>
      <c r="BE43" s="2">
        <f t="shared" ca="1" si="118"/>
        <v>0</v>
      </c>
      <c r="BF43" s="2">
        <f t="shared" ca="1" si="118"/>
        <v>0</v>
      </c>
      <c r="BG43" s="2">
        <f t="shared" ca="1" si="118"/>
        <v>0</v>
      </c>
      <c r="BH43" s="2">
        <f t="shared" ca="1" si="118"/>
        <v>0</v>
      </c>
      <c r="BI43" s="2">
        <f t="shared" ca="1" si="118"/>
        <v>0</v>
      </c>
      <c r="BJ43" s="2">
        <f t="shared" ca="1" si="118"/>
        <v>0</v>
      </c>
      <c r="BK43" s="2">
        <f t="shared" ca="1" si="118"/>
        <v>0</v>
      </c>
      <c r="BL43" s="25"/>
      <c r="BM43" s="145" t="e">
        <f t="shared" ca="1" si="22"/>
        <v>#VALUE!</v>
      </c>
      <c r="BN43" s="145" t="e">
        <f t="shared" ca="1" si="23"/>
        <v>#VALUE!</v>
      </c>
      <c r="BO43" s="145" t="e">
        <f t="shared" ca="1" si="24"/>
        <v>#VALUE!</v>
      </c>
      <c r="BP43" s="145" t="e">
        <f t="shared" ca="1" si="25"/>
        <v>#VALUE!</v>
      </c>
      <c r="BQ43" s="145">
        <f t="shared" ca="1" si="26"/>
        <v>0</v>
      </c>
      <c r="BR43" s="145" t="e">
        <f t="shared" ca="1" si="40"/>
        <v>#VALUE!</v>
      </c>
      <c r="BS43" s="145" t="e">
        <f t="shared" ca="1" si="28"/>
        <v>#VALUE!</v>
      </c>
      <c r="BT43" s="145" t="e">
        <f t="shared" ca="1" si="29"/>
        <v>#VALUE!</v>
      </c>
      <c r="BU43" s="145" t="e">
        <f t="shared" ca="1" si="30"/>
        <v>#VALUE!</v>
      </c>
      <c r="BV43" s="145" t="e">
        <f t="shared" ca="1" si="31"/>
        <v>#VALUE!</v>
      </c>
      <c r="BW43" s="146" t="e">
        <f t="shared" ca="1" si="32"/>
        <v>#VALUE!</v>
      </c>
      <c r="BX43" s="146" t="e">
        <f t="shared" ca="1" si="33"/>
        <v>#VALUE!</v>
      </c>
      <c r="BY43" s="146" t="e">
        <f t="shared" ca="1" si="34"/>
        <v>#VALUE!</v>
      </c>
    </row>
    <row r="44" spans="1:77" x14ac:dyDescent="0.25">
      <c r="A44" s="14">
        <f t="shared" si="88"/>
        <v>28</v>
      </c>
      <c r="B44" s="14">
        <f t="shared" si="88"/>
        <v>68</v>
      </c>
      <c r="C44" s="38">
        <f t="shared" si="4"/>
        <v>1.7410242061739269</v>
      </c>
      <c r="D44" s="25"/>
      <c r="E44" s="74">
        <f>+SUMIFS(Income!D38:K38,Income!D$5:K$5,FALSE)</f>
        <v>43525.605154348174</v>
      </c>
      <c r="F44" s="74" t="str">
        <f ca="1">+Investments!P39</f>
        <v>EXPIRED</v>
      </c>
      <c r="G44" s="74" t="e">
        <f t="shared" ca="1" si="5"/>
        <v>#VALUE!</v>
      </c>
      <c r="H44" s="5">
        <f>+SUMIFS(Income!D38:K38,Income!D$5:K$5,TRUE)</f>
        <v>0</v>
      </c>
      <c r="I44" s="5" t="str">
        <f ca="1">+Investments!Q39</f>
        <v>EXPIRED</v>
      </c>
      <c r="J44" s="5">
        <f ca="1">+RealEstate!G33</f>
        <v>0</v>
      </c>
      <c r="K44" s="5">
        <f t="shared" ca="1" si="6"/>
        <v>0</v>
      </c>
      <c r="L44" s="5">
        <f t="shared" ca="1" si="7"/>
        <v>0</v>
      </c>
      <c r="M44" s="25"/>
      <c r="N44" s="77" t="str">
        <f ca="1">+Investments!N39</f>
        <v>EXPIRED</v>
      </c>
      <c r="O44" s="77">
        <f t="shared" ca="1" si="8"/>
        <v>0</v>
      </c>
      <c r="P44" s="25"/>
      <c r="Q44" s="32" t="e">
        <f t="shared" ca="1" si="41"/>
        <v>#VALUE!</v>
      </c>
      <c r="R44" s="32" t="e">
        <f t="shared" ca="1" si="10"/>
        <v>#VALUE!</v>
      </c>
      <c r="S44" s="32" t="e">
        <f ca="1">+AQ44+RealEstate!H33</f>
        <v>#VALUE!</v>
      </c>
      <c r="T44" s="32">
        <f ca="1">+RealEstate!I33</f>
        <v>0</v>
      </c>
      <c r="U44" s="32" t="e">
        <f t="shared" ca="1" si="11"/>
        <v>#VALUE!</v>
      </c>
      <c r="V44" s="32" t="e">
        <f t="shared" ca="1" si="36"/>
        <v>#VALUE!</v>
      </c>
      <c r="W44" s="32">
        <f t="shared" ca="1" si="12"/>
        <v>0</v>
      </c>
      <c r="Z44" s="25"/>
      <c r="AA44" s="90" t="e">
        <f t="shared" ca="1" si="57"/>
        <v>#VALUE!</v>
      </c>
      <c r="AB44" s="25"/>
      <c r="AC44" s="2" t="e">
        <f t="shared" ca="1" si="14"/>
        <v>#VALUE!</v>
      </c>
      <c r="AD44" s="2" t="e">
        <f t="shared" ref="AD44:AL44" ca="1" si="119">MAX(0,MIN($V44,AD$11*$C44)-AC$11*$C44)*AC$10</f>
        <v>#VALUE!</v>
      </c>
      <c r="AE44" s="2" t="e">
        <f t="shared" ca="1" si="119"/>
        <v>#VALUE!</v>
      </c>
      <c r="AF44" s="2" t="e">
        <f t="shared" ca="1" si="119"/>
        <v>#VALUE!</v>
      </c>
      <c r="AG44" s="2" t="e">
        <f t="shared" ca="1" si="119"/>
        <v>#VALUE!</v>
      </c>
      <c r="AH44" s="2" t="e">
        <f t="shared" ca="1" si="119"/>
        <v>#VALUE!</v>
      </c>
      <c r="AI44" s="2" t="e">
        <f t="shared" ca="1" si="119"/>
        <v>#VALUE!</v>
      </c>
      <c r="AJ44" s="2" t="e">
        <f t="shared" ca="1" si="119"/>
        <v>#VALUE!</v>
      </c>
      <c r="AK44" s="2" t="e">
        <f t="shared" ca="1" si="119"/>
        <v>#VALUE!</v>
      </c>
      <c r="AL44" s="2" t="e">
        <f t="shared" ca="1" si="119"/>
        <v>#VALUE!</v>
      </c>
      <c r="AM44" s="25"/>
      <c r="AN44" s="2" t="e">
        <f t="shared" ca="1" si="16"/>
        <v>#VALUE!</v>
      </c>
      <c r="AO44" s="2" t="e">
        <f t="shared" ca="1" si="17"/>
        <v>#VALUE!</v>
      </c>
      <c r="AP44" s="25"/>
      <c r="AQ44" s="2" t="e">
        <f t="shared" ca="1" si="18"/>
        <v>#VALUE!</v>
      </c>
      <c r="AR44" s="2" t="e">
        <f t="shared" ref="AR44:AZ44" ca="1" si="120">MAX(0,MIN($R44,AR$11*$C44)-AQ$11*$C44)*AQ$10</f>
        <v>#VALUE!</v>
      </c>
      <c r="AS44" s="2" t="e">
        <f t="shared" ca="1" si="120"/>
        <v>#VALUE!</v>
      </c>
      <c r="AT44" s="2" t="e">
        <f t="shared" ca="1" si="120"/>
        <v>#VALUE!</v>
      </c>
      <c r="AU44" s="2" t="e">
        <f t="shared" ca="1" si="120"/>
        <v>#VALUE!</v>
      </c>
      <c r="AV44" s="2" t="e">
        <f t="shared" ca="1" si="120"/>
        <v>#VALUE!</v>
      </c>
      <c r="AW44" s="2" t="e">
        <f t="shared" ca="1" si="120"/>
        <v>#VALUE!</v>
      </c>
      <c r="AX44" s="2" t="e">
        <f t="shared" ca="1" si="120"/>
        <v>#VALUE!</v>
      </c>
      <c r="AY44" s="2" t="e">
        <f t="shared" ca="1" si="120"/>
        <v>#VALUE!</v>
      </c>
      <c r="AZ44" s="2" t="e">
        <f t="shared" ca="1" si="120"/>
        <v>#VALUE!</v>
      </c>
      <c r="BA44" s="25"/>
      <c r="BB44" s="2">
        <f t="shared" ca="1" si="20"/>
        <v>0</v>
      </c>
      <c r="BC44" s="2">
        <f t="shared" ref="BC44:BK44" ca="1" si="121">MAX(0,MIN($W44,BC$11*$C44)-BB$11*$C44)*BB$10</f>
        <v>0</v>
      </c>
      <c r="BD44" s="2">
        <f t="shared" ca="1" si="121"/>
        <v>0</v>
      </c>
      <c r="BE44" s="2">
        <f t="shared" ca="1" si="121"/>
        <v>0</v>
      </c>
      <c r="BF44" s="2">
        <f t="shared" ca="1" si="121"/>
        <v>0</v>
      </c>
      <c r="BG44" s="2">
        <f t="shared" ca="1" si="121"/>
        <v>0</v>
      </c>
      <c r="BH44" s="2">
        <f t="shared" ca="1" si="121"/>
        <v>0</v>
      </c>
      <c r="BI44" s="2">
        <f t="shared" ca="1" si="121"/>
        <v>0</v>
      </c>
      <c r="BJ44" s="2">
        <f t="shared" ca="1" si="121"/>
        <v>0</v>
      </c>
      <c r="BK44" s="2">
        <f t="shared" ca="1" si="121"/>
        <v>0</v>
      </c>
      <c r="BL44" s="25"/>
      <c r="BM44" s="145" t="e">
        <f t="shared" ca="1" si="22"/>
        <v>#VALUE!</v>
      </c>
      <c r="BN44" s="145" t="e">
        <f t="shared" ca="1" si="23"/>
        <v>#VALUE!</v>
      </c>
      <c r="BO44" s="145" t="e">
        <f t="shared" ca="1" si="24"/>
        <v>#VALUE!</v>
      </c>
      <c r="BP44" s="145" t="e">
        <f t="shared" ca="1" si="25"/>
        <v>#VALUE!</v>
      </c>
      <c r="BQ44" s="145">
        <f t="shared" ca="1" si="26"/>
        <v>0</v>
      </c>
      <c r="BR44" s="145" t="e">
        <f t="shared" ca="1" si="40"/>
        <v>#VALUE!</v>
      </c>
      <c r="BS44" s="145" t="e">
        <f t="shared" ca="1" si="28"/>
        <v>#VALUE!</v>
      </c>
      <c r="BT44" s="145" t="e">
        <f t="shared" ca="1" si="29"/>
        <v>#VALUE!</v>
      </c>
      <c r="BU44" s="145" t="e">
        <f t="shared" ca="1" si="30"/>
        <v>#VALUE!</v>
      </c>
      <c r="BV44" s="145" t="e">
        <f t="shared" ca="1" si="31"/>
        <v>#VALUE!</v>
      </c>
      <c r="BW44" s="146" t="e">
        <f t="shared" ca="1" si="32"/>
        <v>#VALUE!</v>
      </c>
      <c r="BX44" s="146" t="e">
        <f t="shared" ca="1" si="33"/>
        <v>#VALUE!</v>
      </c>
      <c r="BY44" s="146" t="e">
        <f t="shared" ca="1" si="34"/>
        <v>#VALUE!</v>
      </c>
    </row>
    <row r="45" spans="1:77" x14ac:dyDescent="0.25">
      <c r="A45" s="14">
        <f t="shared" si="88"/>
        <v>29</v>
      </c>
      <c r="B45" s="14">
        <f t="shared" si="88"/>
        <v>69</v>
      </c>
      <c r="C45" s="38">
        <f t="shared" si="4"/>
        <v>1.7758446902974052</v>
      </c>
      <c r="D45" s="25"/>
      <c r="E45" s="74">
        <f>+SUMIFS(Income!D39:K39,Income!D$5:K$5,FALSE)</f>
        <v>44396.117257435129</v>
      </c>
      <c r="F45" s="74" t="str">
        <f ca="1">+Investments!P40</f>
        <v>EXPIRED</v>
      </c>
      <c r="G45" s="74" t="e">
        <f t="shared" ca="1" si="5"/>
        <v>#VALUE!</v>
      </c>
      <c r="H45" s="5">
        <f>+SUMIFS(Income!D39:K39,Income!D$5:K$5,TRUE)</f>
        <v>0</v>
      </c>
      <c r="I45" s="5" t="str">
        <f ca="1">+Investments!Q40</f>
        <v>EXPIRED</v>
      </c>
      <c r="J45" s="5">
        <f ca="1">+RealEstate!G34</f>
        <v>0</v>
      </c>
      <c r="K45" s="5">
        <f t="shared" ca="1" si="6"/>
        <v>0</v>
      </c>
      <c r="L45" s="5">
        <f t="shared" ca="1" si="7"/>
        <v>0</v>
      </c>
      <c r="M45" s="25"/>
      <c r="N45" s="77" t="str">
        <f ca="1">+Investments!N40</f>
        <v>EXPIRED</v>
      </c>
      <c r="O45" s="77">
        <f t="shared" ca="1" si="8"/>
        <v>0</v>
      </c>
      <c r="P45" s="25"/>
      <c r="Q45" s="32" t="e">
        <f t="shared" ca="1" si="41"/>
        <v>#VALUE!</v>
      </c>
      <c r="R45" s="32" t="e">
        <f t="shared" ca="1" si="10"/>
        <v>#VALUE!</v>
      </c>
      <c r="S45" s="32" t="e">
        <f ca="1">+AQ45+RealEstate!H34</f>
        <v>#VALUE!</v>
      </c>
      <c r="T45" s="32">
        <f ca="1">+RealEstate!I34</f>
        <v>0</v>
      </c>
      <c r="U45" s="32" t="e">
        <f t="shared" ca="1" si="11"/>
        <v>#VALUE!</v>
      </c>
      <c r="V45" s="32" t="e">
        <f t="shared" ca="1" si="36"/>
        <v>#VALUE!</v>
      </c>
      <c r="W45" s="32">
        <f t="shared" ca="1" si="12"/>
        <v>0</v>
      </c>
      <c r="Z45" s="25"/>
      <c r="AA45" s="90" t="e">
        <f t="shared" ca="1" si="57"/>
        <v>#VALUE!</v>
      </c>
      <c r="AB45" s="25"/>
      <c r="AC45" s="2" t="e">
        <f t="shared" ca="1" si="14"/>
        <v>#VALUE!</v>
      </c>
      <c r="AD45" s="2" t="e">
        <f t="shared" ref="AD45:AL45" ca="1" si="122">MAX(0,MIN($V45,AD$11*$C45)-AC$11*$C45)*AC$10</f>
        <v>#VALUE!</v>
      </c>
      <c r="AE45" s="2" t="e">
        <f t="shared" ca="1" si="122"/>
        <v>#VALUE!</v>
      </c>
      <c r="AF45" s="2" t="e">
        <f t="shared" ca="1" si="122"/>
        <v>#VALUE!</v>
      </c>
      <c r="AG45" s="2" t="e">
        <f t="shared" ca="1" si="122"/>
        <v>#VALUE!</v>
      </c>
      <c r="AH45" s="2" t="e">
        <f t="shared" ca="1" si="122"/>
        <v>#VALUE!</v>
      </c>
      <c r="AI45" s="2" t="e">
        <f t="shared" ca="1" si="122"/>
        <v>#VALUE!</v>
      </c>
      <c r="AJ45" s="2" t="e">
        <f t="shared" ca="1" si="122"/>
        <v>#VALUE!</v>
      </c>
      <c r="AK45" s="2" t="e">
        <f t="shared" ca="1" si="122"/>
        <v>#VALUE!</v>
      </c>
      <c r="AL45" s="2" t="e">
        <f t="shared" ca="1" si="122"/>
        <v>#VALUE!</v>
      </c>
      <c r="AM45" s="25"/>
      <c r="AN45" s="2" t="e">
        <f t="shared" ca="1" si="16"/>
        <v>#VALUE!</v>
      </c>
      <c r="AO45" s="2" t="e">
        <f t="shared" ca="1" si="17"/>
        <v>#VALUE!</v>
      </c>
      <c r="AP45" s="25"/>
      <c r="AQ45" s="2" t="e">
        <f t="shared" ca="1" si="18"/>
        <v>#VALUE!</v>
      </c>
      <c r="AR45" s="2" t="e">
        <f t="shared" ref="AR45:AZ45" ca="1" si="123">MAX(0,MIN($R45,AR$11*$C45)-AQ$11*$C45)*AQ$10</f>
        <v>#VALUE!</v>
      </c>
      <c r="AS45" s="2" t="e">
        <f t="shared" ca="1" si="123"/>
        <v>#VALUE!</v>
      </c>
      <c r="AT45" s="2" t="e">
        <f t="shared" ca="1" si="123"/>
        <v>#VALUE!</v>
      </c>
      <c r="AU45" s="2" t="e">
        <f t="shared" ca="1" si="123"/>
        <v>#VALUE!</v>
      </c>
      <c r="AV45" s="2" t="e">
        <f t="shared" ca="1" si="123"/>
        <v>#VALUE!</v>
      </c>
      <c r="AW45" s="2" t="e">
        <f t="shared" ca="1" si="123"/>
        <v>#VALUE!</v>
      </c>
      <c r="AX45" s="2" t="e">
        <f t="shared" ca="1" si="123"/>
        <v>#VALUE!</v>
      </c>
      <c r="AY45" s="2" t="e">
        <f t="shared" ca="1" si="123"/>
        <v>#VALUE!</v>
      </c>
      <c r="AZ45" s="2" t="e">
        <f t="shared" ca="1" si="123"/>
        <v>#VALUE!</v>
      </c>
      <c r="BA45" s="25"/>
      <c r="BB45" s="2">
        <f t="shared" ca="1" si="20"/>
        <v>0</v>
      </c>
      <c r="BC45" s="2">
        <f t="shared" ref="BC45:BK45" ca="1" si="124">MAX(0,MIN($W45,BC$11*$C45)-BB$11*$C45)*BB$10</f>
        <v>0</v>
      </c>
      <c r="BD45" s="2">
        <f t="shared" ca="1" si="124"/>
        <v>0</v>
      </c>
      <c r="BE45" s="2">
        <f t="shared" ca="1" si="124"/>
        <v>0</v>
      </c>
      <c r="BF45" s="2">
        <f t="shared" ca="1" si="124"/>
        <v>0</v>
      </c>
      <c r="BG45" s="2">
        <f t="shared" ca="1" si="124"/>
        <v>0</v>
      </c>
      <c r="BH45" s="2">
        <f t="shared" ca="1" si="124"/>
        <v>0</v>
      </c>
      <c r="BI45" s="2">
        <f t="shared" ca="1" si="124"/>
        <v>0</v>
      </c>
      <c r="BJ45" s="2">
        <f t="shared" ca="1" si="124"/>
        <v>0</v>
      </c>
      <c r="BK45" s="2">
        <f t="shared" ca="1" si="124"/>
        <v>0</v>
      </c>
      <c r="BL45" s="25"/>
      <c r="BM45" s="145" t="e">
        <f t="shared" ca="1" si="22"/>
        <v>#VALUE!</v>
      </c>
      <c r="BN45" s="145" t="e">
        <f t="shared" ca="1" si="23"/>
        <v>#VALUE!</v>
      </c>
      <c r="BO45" s="145" t="e">
        <f t="shared" ca="1" si="24"/>
        <v>#VALUE!</v>
      </c>
      <c r="BP45" s="145" t="e">
        <f t="shared" ca="1" si="25"/>
        <v>#VALUE!</v>
      </c>
      <c r="BQ45" s="145">
        <f t="shared" ca="1" si="26"/>
        <v>0</v>
      </c>
      <c r="BR45" s="145" t="e">
        <f t="shared" ca="1" si="40"/>
        <v>#VALUE!</v>
      </c>
      <c r="BS45" s="145" t="e">
        <f t="shared" ca="1" si="28"/>
        <v>#VALUE!</v>
      </c>
      <c r="BT45" s="145" t="e">
        <f t="shared" ca="1" si="29"/>
        <v>#VALUE!</v>
      </c>
      <c r="BU45" s="145" t="e">
        <f t="shared" ca="1" si="30"/>
        <v>#VALUE!</v>
      </c>
      <c r="BV45" s="145" t="e">
        <f t="shared" ca="1" si="31"/>
        <v>#VALUE!</v>
      </c>
      <c r="BW45" s="146" t="e">
        <f t="shared" ca="1" si="32"/>
        <v>#VALUE!</v>
      </c>
      <c r="BX45" s="146" t="e">
        <f t="shared" ca="1" si="33"/>
        <v>#VALUE!</v>
      </c>
      <c r="BY45" s="146" t="e">
        <f t="shared" ca="1" si="34"/>
        <v>#VALUE!</v>
      </c>
    </row>
    <row r="46" spans="1:77" x14ac:dyDescent="0.25">
      <c r="A46" s="14">
        <f t="shared" si="88"/>
        <v>30</v>
      </c>
      <c r="B46" s="14">
        <f t="shared" si="88"/>
        <v>70</v>
      </c>
      <c r="C46" s="38">
        <f t="shared" si="4"/>
        <v>1.8113615841033535</v>
      </c>
      <c r="D46" s="25"/>
      <c r="E46" s="74">
        <f>+SUMIFS(Income!D40:K40,Income!D$5:K$5,FALSE)</f>
        <v>45284.039602583834</v>
      </c>
      <c r="F46" s="74" t="str">
        <f ca="1">+Investments!P41</f>
        <v>EXPIRED</v>
      </c>
      <c r="G46" s="74" t="e">
        <f t="shared" ca="1" si="5"/>
        <v>#VALUE!</v>
      </c>
      <c r="H46" s="5">
        <f>+SUMIFS(Income!D40:K40,Income!D$5:K$5,TRUE)</f>
        <v>0</v>
      </c>
      <c r="I46" s="5" t="str">
        <f ca="1">+Investments!Q41</f>
        <v>EXPIRED</v>
      </c>
      <c r="J46" s="5">
        <f ca="1">+RealEstate!G35</f>
        <v>0</v>
      </c>
      <c r="K46" s="5">
        <f t="shared" ca="1" si="6"/>
        <v>0</v>
      </c>
      <c r="L46" s="5">
        <f t="shared" ca="1" si="7"/>
        <v>0</v>
      </c>
      <c r="M46" s="25"/>
      <c r="N46" s="77" t="str">
        <f ca="1">+Investments!N41</f>
        <v>EXPIRED</v>
      </c>
      <c r="O46" s="77">
        <f t="shared" ca="1" si="8"/>
        <v>0</v>
      </c>
      <c r="P46" s="25"/>
      <c r="Q46" s="32" t="e">
        <f t="shared" ca="1" si="41"/>
        <v>#VALUE!</v>
      </c>
      <c r="R46" s="32" t="e">
        <f t="shared" ca="1" si="10"/>
        <v>#VALUE!</v>
      </c>
      <c r="S46" s="32" t="e">
        <f ca="1">+AQ46+RealEstate!H35</f>
        <v>#VALUE!</v>
      </c>
      <c r="T46" s="32">
        <f ca="1">+RealEstate!I35</f>
        <v>0</v>
      </c>
      <c r="U46" s="32" t="e">
        <f t="shared" ca="1" si="11"/>
        <v>#VALUE!</v>
      </c>
      <c r="V46" s="32" t="e">
        <f t="shared" ca="1" si="36"/>
        <v>#VALUE!</v>
      </c>
      <c r="W46" s="32">
        <f t="shared" ca="1" si="12"/>
        <v>0</v>
      </c>
      <c r="Z46" s="25"/>
      <c r="AA46" s="90" t="e">
        <f t="shared" ca="1" si="57"/>
        <v>#VALUE!</v>
      </c>
      <c r="AB46" s="25"/>
      <c r="AC46" s="2" t="e">
        <f t="shared" ca="1" si="14"/>
        <v>#VALUE!</v>
      </c>
      <c r="AD46" s="2" t="e">
        <f t="shared" ref="AD46:AL46" ca="1" si="125">MAX(0,MIN($V46,AD$11*$C46)-AC$11*$C46)*AC$10</f>
        <v>#VALUE!</v>
      </c>
      <c r="AE46" s="2" t="e">
        <f t="shared" ca="1" si="125"/>
        <v>#VALUE!</v>
      </c>
      <c r="AF46" s="2" t="e">
        <f t="shared" ca="1" si="125"/>
        <v>#VALUE!</v>
      </c>
      <c r="AG46" s="2" t="e">
        <f t="shared" ca="1" si="125"/>
        <v>#VALUE!</v>
      </c>
      <c r="AH46" s="2" t="e">
        <f t="shared" ca="1" si="125"/>
        <v>#VALUE!</v>
      </c>
      <c r="AI46" s="2" t="e">
        <f t="shared" ca="1" si="125"/>
        <v>#VALUE!</v>
      </c>
      <c r="AJ46" s="2" t="e">
        <f t="shared" ca="1" si="125"/>
        <v>#VALUE!</v>
      </c>
      <c r="AK46" s="2" t="e">
        <f t="shared" ca="1" si="125"/>
        <v>#VALUE!</v>
      </c>
      <c r="AL46" s="2" t="e">
        <f t="shared" ca="1" si="125"/>
        <v>#VALUE!</v>
      </c>
      <c r="AM46" s="25"/>
      <c r="AN46" s="2" t="e">
        <f t="shared" ca="1" si="16"/>
        <v>#VALUE!</v>
      </c>
      <c r="AO46" s="2" t="e">
        <f t="shared" ca="1" si="17"/>
        <v>#VALUE!</v>
      </c>
      <c r="AP46" s="25"/>
      <c r="AQ46" s="2" t="e">
        <f t="shared" ca="1" si="18"/>
        <v>#VALUE!</v>
      </c>
      <c r="AR46" s="2" t="e">
        <f t="shared" ref="AR46:AZ46" ca="1" si="126">MAX(0,MIN($R46,AR$11*$C46)-AQ$11*$C46)*AQ$10</f>
        <v>#VALUE!</v>
      </c>
      <c r="AS46" s="2" t="e">
        <f t="shared" ca="1" si="126"/>
        <v>#VALUE!</v>
      </c>
      <c r="AT46" s="2" t="e">
        <f t="shared" ca="1" si="126"/>
        <v>#VALUE!</v>
      </c>
      <c r="AU46" s="2" t="e">
        <f t="shared" ca="1" si="126"/>
        <v>#VALUE!</v>
      </c>
      <c r="AV46" s="2" t="e">
        <f t="shared" ca="1" si="126"/>
        <v>#VALUE!</v>
      </c>
      <c r="AW46" s="2" t="e">
        <f t="shared" ca="1" si="126"/>
        <v>#VALUE!</v>
      </c>
      <c r="AX46" s="2" t="e">
        <f t="shared" ca="1" si="126"/>
        <v>#VALUE!</v>
      </c>
      <c r="AY46" s="2" t="e">
        <f t="shared" ca="1" si="126"/>
        <v>#VALUE!</v>
      </c>
      <c r="AZ46" s="2" t="e">
        <f t="shared" ca="1" si="126"/>
        <v>#VALUE!</v>
      </c>
      <c r="BA46" s="25"/>
      <c r="BB46" s="2">
        <f t="shared" ca="1" si="20"/>
        <v>0</v>
      </c>
      <c r="BC46" s="2">
        <f t="shared" ref="BC46:BK46" ca="1" si="127">MAX(0,MIN($W46,BC$11*$C46)-BB$11*$C46)*BB$10</f>
        <v>0</v>
      </c>
      <c r="BD46" s="2">
        <f t="shared" ca="1" si="127"/>
        <v>0</v>
      </c>
      <c r="BE46" s="2">
        <f t="shared" ca="1" si="127"/>
        <v>0</v>
      </c>
      <c r="BF46" s="2">
        <f t="shared" ca="1" si="127"/>
        <v>0</v>
      </c>
      <c r="BG46" s="2">
        <f t="shared" ca="1" si="127"/>
        <v>0</v>
      </c>
      <c r="BH46" s="2">
        <f t="shared" ca="1" si="127"/>
        <v>0</v>
      </c>
      <c r="BI46" s="2">
        <f t="shared" ca="1" si="127"/>
        <v>0</v>
      </c>
      <c r="BJ46" s="2">
        <f t="shared" ca="1" si="127"/>
        <v>0</v>
      </c>
      <c r="BK46" s="2">
        <f t="shared" ca="1" si="127"/>
        <v>0</v>
      </c>
      <c r="BL46" s="25"/>
      <c r="BM46" s="145" t="e">
        <f t="shared" ca="1" si="22"/>
        <v>#VALUE!</v>
      </c>
      <c r="BN46" s="145" t="e">
        <f t="shared" ca="1" si="23"/>
        <v>#VALUE!</v>
      </c>
      <c r="BO46" s="145" t="e">
        <f t="shared" ca="1" si="24"/>
        <v>#VALUE!</v>
      </c>
      <c r="BP46" s="145" t="e">
        <f t="shared" ca="1" si="25"/>
        <v>#VALUE!</v>
      </c>
      <c r="BQ46" s="145">
        <f t="shared" ca="1" si="26"/>
        <v>0</v>
      </c>
      <c r="BR46" s="145" t="e">
        <f t="shared" ca="1" si="40"/>
        <v>#VALUE!</v>
      </c>
      <c r="BS46" s="145" t="e">
        <f t="shared" ca="1" si="28"/>
        <v>#VALUE!</v>
      </c>
      <c r="BT46" s="145" t="e">
        <f t="shared" ca="1" si="29"/>
        <v>#VALUE!</v>
      </c>
      <c r="BU46" s="145" t="e">
        <f t="shared" ca="1" si="30"/>
        <v>#VALUE!</v>
      </c>
      <c r="BV46" s="145" t="e">
        <f t="shared" ca="1" si="31"/>
        <v>#VALUE!</v>
      </c>
      <c r="BW46" s="146" t="e">
        <f t="shared" ca="1" si="32"/>
        <v>#VALUE!</v>
      </c>
      <c r="BX46" s="146" t="e">
        <f t="shared" ca="1" si="33"/>
        <v>#VALUE!</v>
      </c>
      <c r="BY46" s="146" t="e">
        <f t="shared" ca="1" si="34"/>
        <v>#VALUE!</v>
      </c>
    </row>
    <row r="47" spans="1:77" x14ac:dyDescent="0.25">
      <c r="A47" s="14">
        <f t="shared" si="88"/>
        <v>31</v>
      </c>
      <c r="B47" s="14">
        <f t="shared" si="88"/>
        <v>71</v>
      </c>
      <c r="C47" s="38">
        <f t="shared" si="4"/>
        <v>1.8475888157854201</v>
      </c>
      <c r="D47" s="25"/>
      <c r="E47" s="74">
        <f>+SUMIFS(Income!D41:K41,Income!D$5:K$5,FALSE)</f>
        <v>46189.7203946355</v>
      </c>
      <c r="F47" s="74" t="str">
        <f ca="1">+Investments!P42</f>
        <v>EXPIRED</v>
      </c>
      <c r="G47" s="74" t="e">
        <f t="shared" ca="1" si="5"/>
        <v>#VALUE!</v>
      </c>
      <c r="H47" s="5">
        <f>+SUMIFS(Income!D41:K41,Income!D$5:K$5,TRUE)</f>
        <v>0</v>
      </c>
      <c r="I47" s="5" t="str">
        <f ca="1">+Investments!Q42</f>
        <v>EXPIRED</v>
      </c>
      <c r="J47" s="5">
        <f ca="1">+RealEstate!G36</f>
        <v>0</v>
      </c>
      <c r="K47" s="5">
        <f t="shared" ca="1" si="6"/>
        <v>0</v>
      </c>
      <c r="L47" s="5">
        <f t="shared" ca="1" si="7"/>
        <v>0</v>
      </c>
      <c r="M47" s="25"/>
      <c r="N47" s="77" t="str">
        <f ca="1">+Investments!N42</f>
        <v>EXPIRED</v>
      </c>
      <c r="O47" s="77">
        <f t="shared" ca="1" si="8"/>
        <v>0</v>
      </c>
      <c r="P47" s="25"/>
      <c r="Q47" s="32" t="e">
        <f t="shared" ca="1" si="41"/>
        <v>#VALUE!</v>
      </c>
      <c r="R47" s="32" t="e">
        <f t="shared" ca="1" si="10"/>
        <v>#VALUE!</v>
      </c>
      <c r="S47" s="32" t="e">
        <f ca="1">+AQ47+RealEstate!H36</f>
        <v>#VALUE!</v>
      </c>
      <c r="T47" s="32">
        <f ca="1">+RealEstate!I36</f>
        <v>0</v>
      </c>
      <c r="U47" s="32" t="e">
        <f t="shared" ca="1" si="11"/>
        <v>#VALUE!</v>
      </c>
      <c r="V47" s="32" t="e">
        <f t="shared" ca="1" si="36"/>
        <v>#VALUE!</v>
      </c>
      <c r="W47" s="32">
        <f t="shared" ca="1" si="12"/>
        <v>0</v>
      </c>
      <c r="Z47" s="25"/>
      <c r="AA47" s="90" t="e">
        <f t="shared" ca="1" si="57"/>
        <v>#VALUE!</v>
      </c>
      <c r="AB47" s="25"/>
      <c r="AC47" s="2" t="e">
        <f t="shared" ca="1" si="14"/>
        <v>#VALUE!</v>
      </c>
      <c r="AD47" s="2" t="e">
        <f t="shared" ref="AD47:AL47" ca="1" si="128">MAX(0,MIN($V47,AD$11*$C47)-AC$11*$C47)*AC$10</f>
        <v>#VALUE!</v>
      </c>
      <c r="AE47" s="2" t="e">
        <f t="shared" ca="1" si="128"/>
        <v>#VALUE!</v>
      </c>
      <c r="AF47" s="2" t="e">
        <f t="shared" ca="1" si="128"/>
        <v>#VALUE!</v>
      </c>
      <c r="AG47" s="2" t="e">
        <f t="shared" ca="1" si="128"/>
        <v>#VALUE!</v>
      </c>
      <c r="AH47" s="2" t="e">
        <f t="shared" ca="1" si="128"/>
        <v>#VALUE!</v>
      </c>
      <c r="AI47" s="2" t="e">
        <f t="shared" ca="1" si="128"/>
        <v>#VALUE!</v>
      </c>
      <c r="AJ47" s="2" t="e">
        <f t="shared" ca="1" si="128"/>
        <v>#VALUE!</v>
      </c>
      <c r="AK47" s="2" t="e">
        <f t="shared" ca="1" si="128"/>
        <v>#VALUE!</v>
      </c>
      <c r="AL47" s="2" t="e">
        <f t="shared" ca="1" si="128"/>
        <v>#VALUE!</v>
      </c>
      <c r="AM47" s="25"/>
      <c r="AN47" s="2" t="e">
        <f t="shared" ca="1" si="16"/>
        <v>#VALUE!</v>
      </c>
      <c r="AO47" s="2" t="e">
        <f t="shared" ca="1" si="17"/>
        <v>#VALUE!</v>
      </c>
      <c r="AP47" s="25"/>
      <c r="AQ47" s="2" t="e">
        <f t="shared" ca="1" si="18"/>
        <v>#VALUE!</v>
      </c>
      <c r="AR47" s="2" t="e">
        <f t="shared" ref="AR47:AZ47" ca="1" si="129">MAX(0,MIN($R47,AR$11*$C47)-AQ$11*$C47)*AQ$10</f>
        <v>#VALUE!</v>
      </c>
      <c r="AS47" s="2" t="e">
        <f t="shared" ca="1" si="129"/>
        <v>#VALUE!</v>
      </c>
      <c r="AT47" s="2" t="e">
        <f t="shared" ca="1" si="129"/>
        <v>#VALUE!</v>
      </c>
      <c r="AU47" s="2" t="e">
        <f t="shared" ca="1" si="129"/>
        <v>#VALUE!</v>
      </c>
      <c r="AV47" s="2" t="e">
        <f t="shared" ca="1" si="129"/>
        <v>#VALUE!</v>
      </c>
      <c r="AW47" s="2" t="e">
        <f t="shared" ca="1" si="129"/>
        <v>#VALUE!</v>
      </c>
      <c r="AX47" s="2" t="e">
        <f t="shared" ca="1" si="129"/>
        <v>#VALUE!</v>
      </c>
      <c r="AY47" s="2" t="e">
        <f t="shared" ca="1" si="129"/>
        <v>#VALUE!</v>
      </c>
      <c r="AZ47" s="2" t="e">
        <f t="shared" ca="1" si="129"/>
        <v>#VALUE!</v>
      </c>
      <c r="BA47" s="25"/>
      <c r="BB47" s="2">
        <f t="shared" ca="1" si="20"/>
        <v>0</v>
      </c>
      <c r="BC47" s="2">
        <f t="shared" ref="BC47:BK47" ca="1" si="130">MAX(0,MIN($W47,BC$11*$C47)-BB$11*$C47)*BB$10</f>
        <v>0</v>
      </c>
      <c r="BD47" s="2">
        <f t="shared" ca="1" si="130"/>
        <v>0</v>
      </c>
      <c r="BE47" s="2">
        <f t="shared" ca="1" si="130"/>
        <v>0</v>
      </c>
      <c r="BF47" s="2">
        <f t="shared" ca="1" si="130"/>
        <v>0</v>
      </c>
      <c r="BG47" s="2">
        <f t="shared" ca="1" si="130"/>
        <v>0</v>
      </c>
      <c r="BH47" s="2">
        <f t="shared" ca="1" si="130"/>
        <v>0</v>
      </c>
      <c r="BI47" s="2">
        <f t="shared" ca="1" si="130"/>
        <v>0</v>
      </c>
      <c r="BJ47" s="2">
        <f t="shared" ca="1" si="130"/>
        <v>0</v>
      </c>
      <c r="BK47" s="2">
        <f t="shared" ca="1" si="130"/>
        <v>0</v>
      </c>
      <c r="BL47" s="25"/>
      <c r="BM47" s="145" t="e">
        <f t="shared" ca="1" si="22"/>
        <v>#VALUE!</v>
      </c>
      <c r="BN47" s="145" t="e">
        <f t="shared" ca="1" si="23"/>
        <v>#VALUE!</v>
      </c>
      <c r="BO47" s="145" t="e">
        <f t="shared" ca="1" si="24"/>
        <v>#VALUE!</v>
      </c>
      <c r="BP47" s="145" t="e">
        <f t="shared" ca="1" si="25"/>
        <v>#VALUE!</v>
      </c>
      <c r="BQ47" s="145">
        <f t="shared" ca="1" si="26"/>
        <v>0</v>
      </c>
      <c r="BR47" s="145" t="e">
        <f t="shared" ca="1" si="40"/>
        <v>#VALUE!</v>
      </c>
      <c r="BS47" s="145" t="e">
        <f t="shared" ca="1" si="28"/>
        <v>#VALUE!</v>
      </c>
      <c r="BT47" s="145" t="e">
        <f t="shared" ca="1" si="29"/>
        <v>#VALUE!</v>
      </c>
      <c r="BU47" s="145" t="e">
        <f t="shared" ca="1" si="30"/>
        <v>#VALUE!</v>
      </c>
      <c r="BV47" s="145" t="e">
        <f t="shared" ca="1" si="31"/>
        <v>#VALUE!</v>
      </c>
      <c r="BW47" s="146" t="e">
        <f t="shared" ca="1" si="32"/>
        <v>#VALUE!</v>
      </c>
      <c r="BX47" s="146" t="e">
        <f t="shared" ca="1" si="33"/>
        <v>#VALUE!</v>
      </c>
      <c r="BY47" s="146" t="e">
        <f t="shared" ca="1" si="34"/>
        <v>#VALUE!</v>
      </c>
    </row>
    <row r="48" spans="1:77" x14ac:dyDescent="0.25">
      <c r="A48" s="14">
        <f t="shared" si="88"/>
        <v>32</v>
      </c>
      <c r="B48" s="14">
        <f t="shared" si="88"/>
        <v>72</v>
      </c>
      <c r="C48" s="38">
        <f t="shared" si="4"/>
        <v>1.8845405921011289</v>
      </c>
      <c r="D48" s="25"/>
      <c r="E48" s="74">
        <f>+SUMIFS(Income!D42:K42,Income!D$5:K$5,FALSE)</f>
        <v>47113.514802528225</v>
      </c>
      <c r="F48" s="74" t="str">
        <f ca="1">+Investments!P43</f>
        <v>EXPIRED</v>
      </c>
      <c r="G48" s="74" t="e">
        <f t="shared" ca="1" si="5"/>
        <v>#VALUE!</v>
      </c>
      <c r="H48" s="5">
        <f>+SUMIFS(Income!D42:K42,Income!D$5:K$5,TRUE)</f>
        <v>0</v>
      </c>
      <c r="I48" s="5" t="str">
        <f ca="1">+Investments!Q43</f>
        <v>EXPIRED</v>
      </c>
      <c r="J48" s="5">
        <f ca="1">+RealEstate!G37</f>
        <v>0</v>
      </c>
      <c r="K48" s="5">
        <f t="shared" ca="1" si="6"/>
        <v>0</v>
      </c>
      <c r="L48" s="5">
        <f t="shared" ca="1" si="7"/>
        <v>0</v>
      </c>
      <c r="M48" s="25"/>
      <c r="N48" s="77" t="str">
        <f ca="1">+Investments!N43</f>
        <v>EXPIRED</v>
      </c>
      <c r="O48" s="77">
        <f t="shared" ca="1" si="8"/>
        <v>0</v>
      </c>
      <c r="P48" s="25"/>
      <c r="Q48" s="32" t="e">
        <f t="shared" ca="1" si="41"/>
        <v>#VALUE!</v>
      </c>
      <c r="R48" s="32" t="e">
        <f t="shared" ca="1" si="10"/>
        <v>#VALUE!</v>
      </c>
      <c r="S48" s="32" t="e">
        <f ca="1">+AQ48+RealEstate!H37</f>
        <v>#VALUE!</v>
      </c>
      <c r="T48" s="32">
        <f ca="1">+RealEstate!I37</f>
        <v>0</v>
      </c>
      <c r="U48" s="32" t="e">
        <f t="shared" ca="1" si="11"/>
        <v>#VALUE!</v>
      </c>
      <c r="V48" s="32" t="e">
        <f t="shared" ca="1" si="36"/>
        <v>#VALUE!</v>
      </c>
      <c r="W48" s="32">
        <f t="shared" ca="1" si="12"/>
        <v>0</v>
      </c>
      <c r="Z48" s="25"/>
      <c r="AA48" s="90" t="e">
        <f t="shared" ca="1" si="57"/>
        <v>#VALUE!</v>
      </c>
      <c r="AB48" s="25"/>
      <c r="AC48" s="2" t="e">
        <f t="shared" ca="1" si="14"/>
        <v>#VALUE!</v>
      </c>
      <c r="AD48" s="2" t="e">
        <f t="shared" ref="AD48:AL48" ca="1" si="131">MAX(0,MIN($V48,AD$11*$C48)-AC$11*$C48)*AC$10</f>
        <v>#VALUE!</v>
      </c>
      <c r="AE48" s="2" t="e">
        <f t="shared" ca="1" si="131"/>
        <v>#VALUE!</v>
      </c>
      <c r="AF48" s="2" t="e">
        <f t="shared" ca="1" si="131"/>
        <v>#VALUE!</v>
      </c>
      <c r="AG48" s="2" t="e">
        <f t="shared" ca="1" si="131"/>
        <v>#VALUE!</v>
      </c>
      <c r="AH48" s="2" t="e">
        <f t="shared" ca="1" si="131"/>
        <v>#VALUE!</v>
      </c>
      <c r="AI48" s="2" t="e">
        <f t="shared" ca="1" si="131"/>
        <v>#VALUE!</v>
      </c>
      <c r="AJ48" s="2" t="e">
        <f t="shared" ca="1" si="131"/>
        <v>#VALUE!</v>
      </c>
      <c r="AK48" s="2" t="e">
        <f t="shared" ca="1" si="131"/>
        <v>#VALUE!</v>
      </c>
      <c r="AL48" s="2" t="e">
        <f t="shared" ca="1" si="131"/>
        <v>#VALUE!</v>
      </c>
      <c r="AM48" s="25"/>
      <c r="AN48" s="2" t="e">
        <f t="shared" ca="1" si="16"/>
        <v>#VALUE!</v>
      </c>
      <c r="AO48" s="2" t="e">
        <f t="shared" ca="1" si="17"/>
        <v>#VALUE!</v>
      </c>
      <c r="AP48" s="25"/>
      <c r="AQ48" s="2" t="e">
        <f t="shared" ca="1" si="18"/>
        <v>#VALUE!</v>
      </c>
      <c r="AR48" s="2" t="e">
        <f t="shared" ref="AR48:AZ48" ca="1" si="132">MAX(0,MIN($R48,AR$11*$C48)-AQ$11*$C48)*AQ$10</f>
        <v>#VALUE!</v>
      </c>
      <c r="AS48" s="2" t="e">
        <f t="shared" ca="1" si="132"/>
        <v>#VALUE!</v>
      </c>
      <c r="AT48" s="2" t="e">
        <f t="shared" ca="1" si="132"/>
        <v>#VALUE!</v>
      </c>
      <c r="AU48" s="2" t="e">
        <f t="shared" ca="1" si="132"/>
        <v>#VALUE!</v>
      </c>
      <c r="AV48" s="2" t="e">
        <f t="shared" ca="1" si="132"/>
        <v>#VALUE!</v>
      </c>
      <c r="AW48" s="2" t="e">
        <f t="shared" ca="1" si="132"/>
        <v>#VALUE!</v>
      </c>
      <c r="AX48" s="2" t="e">
        <f t="shared" ca="1" si="132"/>
        <v>#VALUE!</v>
      </c>
      <c r="AY48" s="2" t="e">
        <f t="shared" ca="1" si="132"/>
        <v>#VALUE!</v>
      </c>
      <c r="AZ48" s="2" t="e">
        <f t="shared" ca="1" si="132"/>
        <v>#VALUE!</v>
      </c>
      <c r="BA48" s="25"/>
      <c r="BB48" s="2">
        <f t="shared" ca="1" si="20"/>
        <v>0</v>
      </c>
      <c r="BC48" s="2">
        <f t="shared" ref="BC48:BK48" ca="1" si="133">MAX(0,MIN($W48,BC$11*$C48)-BB$11*$C48)*BB$10</f>
        <v>0</v>
      </c>
      <c r="BD48" s="2">
        <f t="shared" ca="1" si="133"/>
        <v>0</v>
      </c>
      <c r="BE48" s="2">
        <f t="shared" ca="1" si="133"/>
        <v>0</v>
      </c>
      <c r="BF48" s="2">
        <f t="shared" ca="1" si="133"/>
        <v>0</v>
      </c>
      <c r="BG48" s="2">
        <f t="shared" ca="1" si="133"/>
        <v>0</v>
      </c>
      <c r="BH48" s="2">
        <f t="shared" ca="1" si="133"/>
        <v>0</v>
      </c>
      <c r="BI48" s="2">
        <f t="shared" ca="1" si="133"/>
        <v>0</v>
      </c>
      <c r="BJ48" s="2">
        <f t="shared" ca="1" si="133"/>
        <v>0</v>
      </c>
      <c r="BK48" s="2">
        <f t="shared" ca="1" si="133"/>
        <v>0</v>
      </c>
      <c r="BL48" s="25"/>
      <c r="BM48" s="145" t="e">
        <f t="shared" ca="1" si="22"/>
        <v>#VALUE!</v>
      </c>
      <c r="BN48" s="145" t="e">
        <f t="shared" ca="1" si="23"/>
        <v>#VALUE!</v>
      </c>
      <c r="BO48" s="145" t="e">
        <f t="shared" ca="1" si="24"/>
        <v>#VALUE!</v>
      </c>
      <c r="BP48" s="145" t="e">
        <f t="shared" ca="1" si="25"/>
        <v>#VALUE!</v>
      </c>
      <c r="BQ48" s="145">
        <f t="shared" ca="1" si="26"/>
        <v>0</v>
      </c>
      <c r="BR48" s="145" t="e">
        <f t="shared" ca="1" si="40"/>
        <v>#VALUE!</v>
      </c>
      <c r="BS48" s="145" t="e">
        <f t="shared" ca="1" si="28"/>
        <v>#VALUE!</v>
      </c>
      <c r="BT48" s="145" t="e">
        <f t="shared" ca="1" si="29"/>
        <v>#VALUE!</v>
      </c>
      <c r="BU48" s="145" t="e">
        <f t="shared" ca="1" si="30"/>
        <v>#VALUE!</v>
      </c>
      <c r="BV48" s="145" t="e">
        <f t="shared" ca="1" si="31"/>
        <v>#VALUE!</v>
      </c>
      <c r="BW48" s="146" t="e">
        <f t="shared" ca="1" si="32"/>
        <v>#VALUE!</v>
      </c>
      <c r="BX48" s="146" t="e">
        <f t="shared" ca="1" si="33"/>
        <v>#VALUE!</v>
      </c>
      <c r="BY48" s="146" t="e">
        <f t="shared" ca="1" si="34"/>
        <v>#VALUE!</v>
      </c>
    </row>
    <row r="49" spans="1:77" x14ac:dyDescent="0.25">
      <c r="A49" s="14">
        <f t="shared" si="88"/>
        <v>33</v>
      </c>
      <c r="B49" s="14">
        <f t="shared" si="88"/>
        <v>73</v>
      </c>
      <c r="C49" s="38">
        <f t="shared" si="4"/>
        <v>1.9222314039431516</v>
      </c>
      <c r="D49" s="25"/>
      <c r="E49" s="74">
        <f>+SUMIFS(Income!D43:K43,Income!D$5:K$5,FALSE)</f>
        <v>48055.785098578788</v>
      </c>
      <c r="F49" s="74" t="str">
        <f ca="1">+Investments!P44</f>
        <v>EXPIRED</v>
      </c>
      <c r="G49" s="74" t="e">
        <f t="shared" ref="G49:G80" ca="1" si="134">+E49+F49</f>
        <v>#VALUE!</v>
      </c>
      <c r="H49" s="5">
        <f>+SUMIFS(Income!D43:K43,Income!D$5:K$5,TRUE)</f>
        <v>0</v>
      </c>
      <c r="I49" s="5" t="str">
        <f ca="1">+Investments!Q44</f>
        <v>EXPIRED</v>
      </c>
      <c r="J49" s="5">
        <f ca="1">+RealEstate!G38</f>
        <v>0</v>
      </c>
      <c r="K49" s="5">
        <f t="shared" ref="K49:K80" ca="1" si="135">+SUM(H49:J49)</f>
        <v>0</v>
      </c>
      <c r="L49" s="5">
        <f t="shared" ref="L49:L80" ca="1" si="136">+BB49</f>
        <v>0</v>
      </c>
      <c r="M49" s="25"/>
      <c r="N49" s="77" t="str">
        <f ca="1">+Investments!N44</f>
        <v>EXPIRED</v>
      </c>
      <c r="O49" s="77">
        <f t="shared" ca="1" si="8"/>
        <v>0</v>
      </c>
      <c r="P49" s="25"/>
      <c r="Q49" s="32" t="e">
        <f t="shared" ca="1" si="41"/>
        <v>#VALUE!</v>
      </c>
      <c r="R49" s="32" t="e">
        <f t="shared" ref="R49:R80" ca="1" si="137">MAX(0,+Q49-MAX($B$9*$C49,T49))</f>
        <v>#VALUE!</v>
      </c>
      <c r="S49" s="32" t="e">
        <f ca="1">+AQ49+RealEstate!H38</f>
        <v>#VALUE!</v>
      </c>
      <c r="T49" s="32">
        <f ca="1">+RealEstate!I38</f>
        <v>0</v>
      </c>
      <c r="U49" s="32" t="e">
        <f t="shared" ref="U49:U80" ca="1" si="138">+MAX($B$9*$C49,MIN(T49,$B$10*$C49)+S49)</f>
        <v>#VALUE!</v>
      </c>
      <c r="V49" s="32" t="e">
        <f t="shared" ca="1" si="36"/>
        <v>#VALUE!</v>
      </c>
      <c r="W49" s="32">
        <f t="shared" ref="W49:W80" ca="1" si="139">IF(K49=0,0,MAX(0,+K49-U49*(K49/(G49+K49))))</f>
        <v>0</v>
      </c>
      <c r="Z49" s="25"/>
      <c r="AA49" s="90" t="e">
        <f t="shared" ca="1" si="57"/>
        <v>#VALUE!</v>
      </c>
      <c r="AB49" s="25"/>
      <c r="AC49" s="2" t="e">
        <f t="shared" ref="AC49:AC80" ca="1" si="140">+SUM(AD49:AL49)</f>
        <v>#VALUE!</v>
      </c>
      <c r="AD49" s="2" t="e">
        <f t="shared" ref="AD49:AL49" ca="1" si="141">MAX(0,MIN($V49,AD$11*$C49)-AC$11*$C49)*AC$10</f>
        <v>#VALUE!</v>
      </c>
      <c r="AE49" s="2" t="e">
        <f t="shared" ca="1" si="141"/>
        <v>#VALUE!</v>
      </c>
      <c r="AF49" s="2" t="e">
        <f t="shared" ca="1" si="141"/>
        <v>#VALUE!</v>
      </c>
      <c r="AG49" s="2" t="e">
        <f t="shared" ca="1" si="141"/>
        <v>#VALUE!</v>
      </c>
      <c r="AH49" s="2" t="e">
        <f t="shared" ca="1" si="141"/>
        <v>#VALUE!</v>
      </c>
      <c r="AI49" s="2" t="e">
        <f t="shared" ca="1" si="141"/>
        <v>#VALUE!</v>
      </c>
      <c r="AJ49" s="2" t="e">
        <f t="shared" ca="1" si="141"/>
        <v>#VALUE!</v>
      </c>
      <c r="AK49" s="2" t="e">
        <f t="shared" ca="1" si="141"/>
        <v>#VALUE!</v>
      </c>
      <c r="AL49" s="2" t="e">
        <f t="shared" ca="1" si="141"/>
        <v>#VALUE!</v>
      </c>
      <c r="AM49" s="25"/>
      <c r="AN49" s="2" t="e">
        <f t="shared" ref="AN49:AN80" ca="1" si="142">+(MIN(V49,$AN$11)*$AN$10)*IF($B$12,2,1)</f>
        <v>#VALUE!</v>
      </c>
      <c r="AO49" s="2" t="e">
        <f t="shared" ref="AO49:AO80" ca="1" si="143">((V49*$AO$9)+MAX(0,+V49-$AO$11*$C49)*$AO$10)*IF($B$12,2,1)</f>
        <v>#VALUE!</v>
      </c>
      <c r="AP49" s="25"/>
      <c r="AQ49" s="2" t="e">
        <f t="shared" ref="AQ49:AQ80" ca="1" si="144">+SUM(AR49:AZ49)</f>
        <v>#VALUE!</v>
      </c>
      <c r="AR49" s="2" t="e">
        <f t="shared" ref="AR49:AZ49" ca="1" si="145">MAX(0,MIN($R49,AR$11*$C49)-AQ$11*$C49)*AQ$10</f>
        <v>#VALUE!</v>
      </c>
      <c r="AS49" s="2" t="e">
        <f t="shared" ca="1" si="145"/>
        <v>#VALUE!</v>
      </c>
      <c r="AT49" s="2" t="e">
        <f t="shared" ca="1" si="145"/>
        <v>#VALUE!</v>
      </c>
      <c r="AU49" s="2" t="e">
        <f t="shared" ca="1" si="145"/>
        <v>#VALUE!</v>
      </c>
      <c r="AV49" s="2" t="e">
        <f t="shared" ca="1" si="145"/>
        <v>#VALUE!</v>
      </c>
      <c r="AW49" s="2" t="e">
        <f t="shared" ca="1" si="145"/>
        <v>#VALUE!</v>
      </c>
      <c r="AX49" s="2" t="e">
        <f t="shared" ca="1" si="145"/>
        <v>#VALUE!</v>
      </c>
      <c r="AY49" s="2" t="e">
        <f t="shared" ca="1" si="145"/>
        <v>#VALUE!</v>
      </c>
      <c r="AZ49" s="2" t="e">
        <f t="shared" ca="1" si="145"/>
        <v>#VALUE!</v>
      </c>
      <c r="BA49" s="25"/>
      <c r="BB49" s="2">
        <f t="shared" ref="BB49:BB80" ca="1" si="146">+SUM(BC49:BK49)</f>
        <v>0</v>
      </c>
      <c r="BC49" s="2">
        <f t="shared" ref="BC49:BK49" ca="1" si="147">MAX(0,MIN($W49,BC$11*$C49)-BB$11*$C49)*BB$10</f>
        <v>0</v>
      </c>
      <c r="BD49" s="2">
        <f t="shared" ca="1" si="147"/>
        <v>0</v>
      </c>
      <c r="BE49" s="2">
        <f t="shared" ca="1" si="147"/>
        <v>0</v>
      </c>
      <c r="BF49" s="2">
        <f t="shared" ca="1" si="147"/>
        <v>0</v>
      </c>
      <c r="BG49" s="2">
        <f t="shared" ca="1" si="147"/>
        <v>0</v>
      </c>
      <c r="BH49" s="2">
        <f t="shared" ca="1" si="147"/>
        <v>0</v>
      </c>
      <c r="BI49" s="2">
        <f t="shared" ca="1" si="147"/>
        <v>0</v>
      </c>
      <c r="BJ49" s="2">
        <f t="shared" ca="1" si="147"/>
        <v>0</v>
      </c>
      <c r="BK49" s="2">
        <f t="shared" ca="1" si="147"/>
        <v>0</v>
      </c>
      <c r="BL49" s="25"/>
      <c r="BM49" s="145" t="e">
        <f t="shared" ref="BM49:BM80" ca="1" si="148">+MAX(0,G49+H49+J49)</f>
        <v>#VALUE!</v>
      </c>
      <c r="BN49" s="145" t="e">
        <f t="shared" ref="BN49:BN80" ca="1" si="149">MAX(0,+BM49-MAX($B$9*$C49,T49))</f>
        <v>#VALUE!</v>
      </c>
      <c r="BO49" s="145" t="e">
        <f t="shared" ref="BO49:BO80" ca="1" si="150">+MAX($B$9*$C49,MIN(T49,$B$10*$C49)+BT49)</f>
        <v>#VALUE!</v>
      </c>
      <c r="BP49" s="145" t="e">
        <f t="shared" ref="BP49:BP80" ca="1" si="151">IF(G49=0,0,MAX(0,G49-BO49*(G49/(G49+H49+J49))))</f>
        <v>#VALUE!</v>
      </c>
      <c r="BQ49" s="145">
        <f t="shared" ref="BQ49:BQ80" ca="1" si="152">+H49+J49</f>
        <v>0</v>
      </c>
      <c r="BR49" s="145" t="e">
        <f t="shared" ca="1" si="40"/>
        <v>#VALUE!</v>
      </c>
      <c r="BS49" s="145" t="e">
        <f t="shared" ref="BS49:BS80" ca="1" si="153">+((INDEX($Q$3:$Q$11,BW49+1)*$C49-BP49)*INDEX($S$3:$S$11,BW49)*C49+(BP49-INDEX($Q$3:$Q$11,BW49)*$C49)*INDEX($S$3:$S$11,BW49+1)*C49)/(INDEX($Q$3:$Q$11,BW49+1)*$C49-INDEX($Q$3:$Q$11,BW49)*$C49)</f>
        <v>#VALUE!</v>
      </c>
      <c r="BT49" s="145" t="e">
        <f t="shared" ref="BT49:BT80" ca="1" si="154">+((INDEX($T$3:$T$11,BX49+1)*$C49-BN49)*INDEX($V$3:$V$11,BX49)*$C49+(BN49-INDEX($T$3:$T$11,BX49)*$C49)*INDEX($V$3:$V$11,BX49+1)*$C49)/(INDEX($T$3:$T$11,BX49+1)*$C49-INDEX($T$3:$T$11,BX49)*$C49)</f>
        <v>#VALUE!</v>
      </c>
      <c r="BU49" s="145" t="e">
        <f t="shared" ref="BU49:BU80" ca="1" si="155">+((INDEX($W$3:$W$11,BY49+1)*$C49-BQ49)*INDEX($Y$3:$Y$11,BY49)*$C49+(BQ49-INDEX($W$3:$W$11,BY49)*$C49)*INDEX($Y$3:$Y$11,BY49+1)*$C49)/(INDEX($W$3:$W$11,BY49+1)*$C49-INDEX($W$3:$W$11,BY49)*$C49)</f>
        <v>#VALUE!</v>
      </c>
      <c r="BV49" s="145" t="e">
        <f t="shared" ref="BV49:BV80" ca="1" si="156">+(MIN(BP49,$AN$11*$C49)*$AN$10)*IF($B$12,2,1)+((BP49*$AO$9)+MAX(0,+BP49-$AO$11*$C49)*$AO$10)*IF($B$12,2,1)</f>
        <v>#VALUE!</v>
      </c>
      <c r="BW49" s="146" t="e">
        <f t="shared" ref="BW49:BW80" ca="1" si="157">+MATCH(BP49/C49,$Q$3:$Q$11,1)</f>
        <v>#VALUE!</v>
      </c>
      <c r="BX49" s="146" t="e">
        <f t="shared" ref="BX49:BX80" ca="1" si="158">+MATCH(BN49/C49,$T$3:$T$11,1)</f>
        <v>#VALUE!</v>
      </c>
      <c r="BY49" s="146" t="e">
        <f t="shared" ref="BY49:BY80" ca="1" si="159">+MATCH(BO49/C49,$W$3:$W$11,1)</f>
        <v>#VALUE!</v>
      </c>
    </row>
    <row r="50" spans="1:77" x14ac:dyDescent="0.25">
      <c r="A50" s="14">
        <f t="shared" ref="A50:B65" si="160">+A49+1</f>
        <v>34</v>
      </c>
      <c r="B50" s="14">
        <f t="shared" si="160"/>
        <v>74</v>
      </c>
      <c r="C50" s="38">
        <f t="shared" si="4"/>
        <v>1.9606760320220145</v>
      </c>
      <c r="D50" s="25"/>
      <c r="E50" s="74">
        <f>+SUMIFS(Income!D44:K44,Income!D$5:K$5,FALSE)</f>
        <v>49016.900800550364</v>
      </c>
      <c r="F50" s="74" t="str">
        <f ca="1">+Investments!P45</f>
        <v>EXPIRED</v>
      </c>
      <c r="G50" s="74" t="e">
        <f t="shared" ca="1" si="134"/>
        <v>#VALUE!</v>
      </c>
      <c r="H50" s="5">
        <f>+SUMIFS(Income!D44:K44,Income!D$5:K$5,TRUE)</f>
        <v>0</v>
      </c>
      <c r="I50" s="5" t="str">
        <f ca="1">+Investments!Q45</f>
        <v>EXPIRED</v>
      </c>
      <c r="J50" s="5">
        <f ca="1">+RealEstate!G39</f>
        <v>0</v>
      </c>
      <c r="K50" s="5">
        <f t="shared" ca="1" si="135"/>
        <v>0</v>
      </c>
      <c r="L50" s="5">
        <f t="shared" ca="1" si="136"/>
        <v>0</v>
      </c>
      <c r="M50" s="25"/>
      <c r="N50" s="77" t="str">
        <f ca="1">+Investments!N45</f>
        <v>EXPIRED</v>
      </c>
      <c r="O50" s="77">
        <f t="shared" ca="1" si="8"/>
        <v>0</v>
      </c>
      <c r="P50" s="25"/>
      <c r="Q50" s="32" t="e">
        <f t="shared" ca="1" si="41"/>
        <v>#VALUE!</v>
      </c>
      <c r="R50" s="32" t="e">
        <f t="shared" ca="1" si="137"/>
        <v>#VALUE!</v>
      </c>
      <c r="S50" s="32" t="e">
        <f ca="1">+AQ50+RealEstate!H39</f>
        <v>#VALUE!</v>
      </c>
      <c r="T50" s="32">
        <f ca="1">+RealEstate!I39</f>
        <v>0</v>
      </c>
      <c r="U50" s="32" t="e">
        <f t="shared" ca="1" si="138"/>
        <v>#VALUE!</v>
      </c>
      <c r="V50" s="32" t="e">
        <f t="shared" ca="1" si="36"/>
        <v>#VALUE!</v>
      </c>
      <c r="W50" s="32">
        <f t="shared" ca="1" si="139"/>
        <v>0</v>
      </c>
      <c r="Z50" s="25"/>
      <c r="AA50" s="90" t="e">
        <f t="shared" ca="1" si="57"/>
        <v>#VALUE!</v>
      </c>
      <c r="AB50" s="25"/>
      <c r="AC50" s="2" t="e">
        <f t="shared" ca="1" si="140"/>
        <v>#VALUE!</v>
      </c>
      <c r="AD50" s="2" t="e">
        <f t="shared" ref="AD50:AL50" ca="1" si="161">MAX(0,MIN($V50,AD$11*$C50)-AC$11*$C50)*AC$10</f>
        <v>#VALUE!</v>
      </c>
      <c r="AE50" s="2" t="e">
        <f t="shared" ca="1" si="161"/>
        <v>#VALUE!</v>
      </c>
      <c r="AF50" s="2" t="e">
        <f t="shared" ca="1" si="161"/>
        <v>#VALUE!</v>
      </c>
      <c r="AG50" s="2" t="e">
        <f t="shared" ca="1" si="161"/>
        <v>#VALUE!</v>
      </c>
      <c r="AH50" s="2" t="e">
        <f t="shared" ca="1" si="161"/>
        <v>#VALUE!</v>
      </c>
      <c r="AI50" s="2" t="e">
        <f t="shared" ca="1" si="161"/>
        <v>#VALUE!</v>
      </c>
      <c r="AJ50" s="2" t="e">
        <f t="shared" ca="1" si="161"/>
        <v>#VALUE!</v>
      </c>
      <c r="AK50" s="2" t="e">
        <f t="shared" ca="1" si="161"/>
        <v>#VALUE!</v>
      </c>
      <c r="AL50" s="2" t="e">
        <f t="shared" ca="1" si="161"/>
        <v>#VALUE!</v>
      </c>
      <c r="AM50" s="25"/>
      <c r="AN50" s="2" t="e">
        <f t="shared" ca="1" si="142"/>
        <v>#VALUE!</v>
      </c>
      <c r="AO50" s="2" t="e">
        <f t="shared" ca="1" si="143"/>
        <v>#VALUE!</v>
      </c>
      <c r="AP50" s="25"/>
      <c r="AQ50" s="2" t="e">
        <f t="shared" ca="1" si="144"/>
        <v>#VALUE!</v>
      </c>
      <c r="AR50" s="2" t="e">
        <f t="shared" ref="AR50:AZ50" ca="1" si="162">MAX(0,MIN($R50,AR$11*$C50)-AQ$11*$C50)*AQ$10</f>
        <v>#VALUE!</v>
      </c>
      <c r="AS50" s="2" t="e">
        <f t="shared" ca="1" si="162"/>
        <v>#VALUE!</v>
      </c>
      <c r="AT50" s="2" t="e">
        <f t="shared" ca="1" si="162"/>
        <v>#VALUE!</v>
      </c>
      <c r="AU50" s="2" t="e">
        <f t="shared" ca="1" si="162"/>
        <v>#VALUE!</v>
      </c>
      <c r="AV50" s="2" t="e">
        <f t="shared" ca="1" si="162"/>
        <v>#VALUE!</v>
      </c>
      <c r="AW50" s="2" t="e">
        <f t="shared" ca="1" si="162"/>
        <v>#VALUE!</v>
      </c>
      <c r="AX50" s="2" t="e">
        <f t="shared" ca="1" si="162"/>
        <v>#VALUE!</v>
      </c>
      <c r="AY50" s="2" t="e">
        <f t="shared" ca="1" si="162"/>
        <v>#VALUE!</v>
      </c>
      <c r="AZ50" s="2" t="e">
        <f t="shared" ca="1" si="162"/>
        <v>#VALUE!</v>
      </c>
      <c r="BA50" s="25"/>
      <c r="BB50" s="2">
        <f t="shared" ca="1" si="146"/>
        <v>0</v>
      </c>
      <c r="BC50" s="2">
        <f t="shared" ref="BC50:BK50" ca="1" si="163">MAX(0,MIN($W50,BC$11*$C50)-BB$11*$C50)*BB$10</f>
        <v>0</v>
      </c>
      <c r="BD50" s="2">
        <f t="shared" ca="1" si="163"/>
        <v>0</v>
      </c>
      <c r="BE50" s="2">
        <f t="shared" ca="1" si="163"/>
        <v>0</v>
      </c>
      <c r="BF50" s="2">
        <f t="shared" ca="1" si="163"/>
        <v>0</v>
      </c>
      <c r="BG50" s="2">
        <f t="shared" ca="1" si="163"/>
        <v>0</v>
      </c>
      <c r="BH50" s="2">
        <f t="shared" ca="1" si="163"/>
        <v>0</v>
      </c>
      <c r="BI50" s="2">
        <f t="shared" ca="1" si="163"/>
        <v>0</v>
      </c>
      <c r="BJ50" s="2">
        <f t="shared" ca="1" si="163"/>
        <v>0</v>
      </c>
      <c r="BK50" s="2">
        <f t="shared" ca="1" si="163"/>
        <v>0</v>
      </c>
      <c r="BL50" s="25"/>
      <c r="BM50" s="145" t="e">
        <f t="shared" ca="1" si="148"/>
        <v>#VALUE!</v>
      </c>
      <c r="BN50" s="145" t="e">
        <f t="shared" ca="1" si="149"/>
        <v>#VALUE!</v>
      </c>
      <c r="BO50" s="145" t="e">
        <f t="shared" ca="1" si="150"/>
        <v>#VALUE!</v>
      </c>
      <c r="BP50" s="145" t="e">
        <f t="shared" ca="1" si="151"/>
        <v>#VALUE!</v>
      </c>
      <c r="BQ50" s="145">
        <f t="shared" ca="1" si="152"/>
        <v>0</v>
      </c>
      <c r="BR50" s="145" t="e">
        <f t="shared" ca="1" si="40"/>
        <v>#VALUE!</v>
      </c>
      <c r="BS50" s="145" t="e">
        <f t="shared" ca="1" si="153"/>
        <v>#VALUE!</v>
      </c>
      <c r="BT50" s="145" t="e">
        <f t="shared" ca="1" si="154"/>
        <v>#VALUE!</v>
      </c>
      <c r="BU50" s="145" t="e">
        <f t="shared" ca="1" si="155"/>
        <v>#VALUE!</v>
      </c>
      <c r="BV50" s="145" t="e">
        <f t="shared" ca="1" si="156"/>
        <v>#VALUE!</v>
      </c>
      <c r="BW50" s="146" t="e">
        <f t="shared" ca="1" si="157"/>
        <v>#VALUE!</v>
      </c>
      <c r="BX50" s="146" t="e">
        <f t="shared" ca="1" si="158"/>
        <v>#VALUE!</v>
      </c>
      <c r="BY50" s="146" t="e">
        <f t="shared" ca="1" si="159"/>
        <v>#VALUE!</v>
      </c>
    </row>
    <row r="51" spans="1:77" x14ac:dyDescent="0.25">
      <c r="A51" s="14">
        <f t="shared" si="160"/>
        <v>35</v>
      </c>
      <c r="B51" s="14">
        <f t="shared" si="160"/>
        <v>75</v>
      </c>
      <c r="C51" s="38">
        <f t="shared" si="4"/>
        <v>1.9998895526624547</v>
      </c>
      <c r="D51" s="25"/>
      <c r="E51" s="74">
        <f>+SUMIFS(Income!D45:K45,Income!D$5:K$5,FALSE)</f>
        <v>49997.238816561367</v>
      </c>
      <c r="F51" s="74" t="str">
        <f ca="1">+Investments!P46</f>
        <v>EXPIRED</v>
      </c>
      <c r="G51" s="74" t="e">
        <f t="shared" ca="1" si="134"/>
        <v>#VALUE!</v>
      </c>
      <c r="H51" s="5">
        <f>+SUMIFS(Income!D45:K45,Income!D$5:K$5,TRUE)</f>
        <v>0</v>
      </c>
      <c r="I51" s="5" t="str">
        <f ca="1">+Investments!Q46</f>
        <v>EXPIRED</v>
      </c>
      <c r="J51" s="5">
        <f ca="1">+RealEstate!G40</f>
        <v>0</v>
      </c>
      <c r="K51" s="5">
        <f t="shared" ca="1" si="135"/>
        <v>0</v>
      </c>
      <c r="L51" s="5">
        <f t="shared" ca="1" si="136"/>
        <v>0</v>
      </c>
      <c r="M51" s="25"/>
      <c r="N51" s="77" t="str">
        <f ca="1">+Investments!N46</f>
        <v>EXPIRED</v>
      </c>
      <c r="O51" s="77">
        <f t="shared" ca="1" si="8"/>
        <v>0</v>
      </c>
      <c r="P51" s="25"/>
      <c r="Q51" s="32" t="e">
        <f t="shared" ca="1" si="41"/>
        <v>#VALUE!</v>
      </c>
      <c r="R51" s="32" t="e">
        <f t="shared" ca="1" si="137"/>
        <v>#VALUE!</v>
      </c>
      <c r="S51" s="32" t="e">
        <f ca="1">+AQ51+RealEstate!H40</f>
        <v>#VALUE!</v>
      </c>
      <c r="T51" s="32">
        <f ca="1">+RealEstate!I40</f>
        <v>0</v>
      </c>
      <c r="U51" s="32" t="e">
        <f t="shared" ca="1" si="138"/>
        <v>#VALUE!</v>
      </c>
      <c r="V51" s="32" t="e">
        <f t="shared" ca="1" si="36"/>
        <v>#VALUE!</v>
      </c>
      <c r="W51" s="32">
        <f t="shared" ca="1" si="139"/>
        <v>0</v>
      </c>
      <c r="Z51" s="25"/>
      <c r="AA51" s="90" t="e">
        <f t="shared" ca="1" si="57"/>
        <v>#VALUE!</v>
      </c>
      <c r="AB51" s="25"/>
      <c r="AC51" s="2" t="e">
        <f t="shared" ca="1" si="140"/>
        <v>#VALUE!</v>
      </c>
      <c r="AD51" s="2" t="e">
        <f t="shared" ref="AD51:AL51" ca="1" si="164">MAX(0,MIN($V51,AD$11*$C51)-AC$11*$C51)*AC$10</f>
        <v>#VALUE!</v>
      </c>
      <c r="AE51" s="2" t="e">
        <f t="shared" ca="1" si="164"/>
        <v>#VALUE!</v>
      </c>
      <c r="AF51" s="2" t="e">
        <f t="shared" ca="1" si="164"/>
        <v>#VALUE!</v>
      </c>
      <c r="AG51" s="2" t="e">
        <f t="shared" ca="1" si="164"/>
        <v>#VALUE!</v>
      </c>
      <c r="AH51" s="2" t="e">
        <f t="shared" ca="1" si="164"/>
        <v>#VALUE!</v>
      </c>
      <c r="AI51" s="2" t="e">
        <f t="shared" ca="1" si="164"/>
        <v>#VALUE!</v>
      </c>
      <c r="AJ51" s="2" t="e">
        <f t="shared" ca="1" si="164"/>
        <v>#VALUE!</v>
      </c>
      <c r="AK51" s="2" t="e">
        <f t="shared" ca="1" si="164"/>
        <v>#VALUE!</v>
      </c>
      <c r="AL51" s="2" t="e">
        <f t="shared" ca="1" si="164"/>
        <v>#VALUE!</v>
      </c>
      <c r="AM51" s="25"/>
      <c r="AN51" s="2" t="e">
        <f t="shared" ca="1" si="142"/>
        <v>#VALUE!</v>
      </c>
      <c r="AO51" s="2" t="e">
        <f t="shared" ca="1" si="143"/>
        <v>#VALUE!</v>
      </c>
      <c r="AP51" s="25"/>
      <c r="AQ51" s="2" t="e">
        <f t="shared" ca="1" si="144"/>
        <v>#VALUE!</v>
      </c>
      <c r="AR51" s="2" t="e">
        <f t="shared" ref="AR51:AZ51" ca="1" si="165">MAX(0,MIN($R51,AR$11*$C51)-AQ$11*$C51)*AQ$10</f>
        <v>#VALUE!</v>
      </c>
      <c r="AS51" s="2" t="e">
        <f t="shared" ca="1" si="165"/>
        <v>#VALUE!</v>
      </c>
      <c r="AT51" s="2" t="e">
        <f t="shared" ca="1" si="165"/>
        <v>#VALUE!</v>
      </c>
      <c r="AU51" s="2" t="e">
        <f t="shared" ca="1" si="165"/>
        <v>#VALUE!</v>
      </c>
      <c r="AV51" s="2" t="e">
        <f t="shared" ca="1" si="165"/>
        <v>#VALUE!</v>
      </c>
      <c r="AW51" s="2" t="e">
        <f t="shared" ca="1" si="165"/>
        <v>#VALUE!</v>
      </c>
      <c r="AX51" s="2" t="e">
        <f t="shared" ca="1" si="165"/>
        <v>#VALUE!</v>
      </c>
      <c r="AY51" s="2" t="e">
        <f t="shared" ca="1" si="165"/>
        <v>#VALUE!</v>
      </c>
      <c r="AZ51" s="2" t="e">
        <f t="shared" ca="1" si="165"/>
        <v>#VALUE!</v>
      </c>
      <c r="BA51" s="25"/>
      <c r="BB51" s="2">
        <f t="shared" ca="1" si="146"/>
        <v>0</v>
      </c>
      <c r="BC51" s="2">
        <f t="shared" ref="BC51:BK51" ca="1" si="166">MAX(0,MIN($W51,BC$11*$C51)-BB$11*$C51)*BB$10</f>
        <v>0</v>
      </c>
      <c r="BD51" s="2">
        <f t="shared" ca="1" si="166"/>
        <v>0</v>
      </c>
      <c r="BE51" s="2">
        <f t="shared" ca="1" si="166"/>
        <v>0</v>
      </c>
      <c r="BF51" s="2">
        <f t="shared" ca="1" si="166"/>
        <v>0</v>
      </c>
      <c r="BG51" s="2">
        <f t="shared" ca="1" si="166"/>
        <v>0</v>
      </c>
      <c r="BH51" s="2">
        <f t="shared" ca="1" si="166"/>
        <v>0</v>
      </c>
      <c r="BI51" s="2">
        <f t="shared" ca="1" si="166"/>
        <v>0</v>
      </c>
      <c r="BJ51" s="2">
        <f t="shared" ca="1" si="166"/>
        <v>0</v>
      </c>
      <c r="BK51" s="2">
        <f t="shared" ca="1" si="166"/>
        <v>0</v>
      </c>
      <c r="BL51" s="25"/>
      <c r="BM51" s="145" t="e">
        <f t="shared" ca="1" si="148"/>
        <v>#VALUE!</v>
      </c>
      <c r="BN51" s="145" t="e">
        <f t="shared" ca="1" si="149"/>
        <v>#VALUE!</v>
      </c>
      <c r="BO51" s="145" t="e">
        <f t="shared" ca="1" si="150"/>
        <v>#VALUE!</v>
      </c>
      <c r="BP51" s="145" t="e">
        <f t="shared" ca="1" si="151"/>
        <v>#VALUE!</v>
      </c>
      <c r="BQ51" s="145">
        <f t="shared" ca="1" si="152"/>
        <v>0</v>
      </c>
      <c r="BR51" s="145" t="e">
        <f t="shared" ca="1" si="40"/>
        <v>#VALUE!</v>
      </c>
      <c r="BS51" s="145" t="e">
        <f t="shared" ca="1" si="153"/>
        <v>#VALUE!</v>
      </c>
      <c r="BT51" s="145" t="e">
        <f t="shared" ca="1" si="154"/>
        <v>#VALUE!</v>
      </c>
      <c r="BU51" s="145" t="e">
        <f t="shared" ca="1" si="155"/>
        <v>#VALUE!</v>
      </c>
      <c r="BV51" s="145" t="e">
        <f t="shared" ca="1" si="156"/>
        <v>#VALUE!</v>
      </c>
      <c r="BW51" s="146" t="e">
        <f t="shared" ca="1" si="157"/>
        <v>#VALUE!</v>
      </c>
      <c r="BX51" s="146" t="e">
        <f t="shared" ca="1" si="158"/>
        <v>#VALUE!</v>
      </c>
      <c r="BY51" s="146" t="e">
        <f t="shared" ca="1" si="159"/>
        <v>#VALUE!</v>
      </c>
    </row>
    <row r="52" spans="1:77" x14ac:dyDescent="0.25">
      <c r="A52" s="14">
        <f t="shared" si="160"/>
        <v>36</v>
      </c>
      <c r="B52" s="14">
        <f t="shared" si="160"/>
        <v>76</v>
      </c>
      <c r="C52" s="38">
        <f t="shared" si="4"/>
        <v>2.0398873437157037</v>
      </c>
      <c r="D52" s="25"/>
      <c r="E52" s="74">
        <f>+SUMIFS(Income!D46:K46,Income!D$5:K$5,FALSE)</f>
        <v>50997.183592892594</v>
      </c>
      <c r="F52" s="74" t="str">
        <f ca="1">+Investments!P47</f>
        <v>EXPIRED</v>
      </c>
      <c r="G52" s="74" t="e">
        <f t="shared" ca="1" si="134"/>
        <v>#VALUE!</v>
      </c>
      <c r="H52" s="5">
        <f>+SUMIFS(Income!D46:K46,Income!D$5:K$5,TRUE)</f>
        <v>0</v>
      </c>
      <c r="I52" s="5" t="str">
        <f ca="1">+Investments!Q47</f>
        <v>EXPIRED</v>
      </c>
      <c r="J52" s="5">
        <f ca="1">+RealEstate!G41</f>
        <v>0</v>
      </c>
      <c r="K52" s="5">
        <f t="shared" ca="1" si="135"/>
        <v>0</v>
      </c>
      <c r="L52" s="5">
        <f t="shared" ca="1" si="136"/>
        <v>0</v>
      </c>
      <c r="M52" s="25"/>
      <c r="N52" s="77" t="str">
        <f ca="1">+Investments!N47</f>
        <v>EXPIRED</v>
      </c>
      <c r="O52" s="77">
        <f t="shared" ca="1" si="8"/>
        <v>0</v>
      </c>
      <c r="P52" s="25"/>
      <c r="Q52" s="32" t="e">
        <f t="shared" ca="1" si="41"/>
        <v>#VALUE!</v>
      </c>
      <c r="R52" s="32" t="e">
        <f t="shared" ca="1" si="137"/>
        <v>#VALUE!</v>
      </c>
      <c r="S52" s="32" t="e">
        <f ca="1">+AQ52+RealEstate!H41</f>
        <v>#VALUE!</v>
      </c>
      <c r="T52" s="32">
        <f ca="1">+RealEstate!I41</f>
        <v>0</v>
      </c>
      <c r="U52" s="32" t="e">
        <f t="shared" ca="1" si="138"/>
        <v>#VALUE!</v>
      </c>
      <c r="V52" s="32" t="e">
        <f t="shared" ca="1" si="36"/>
        <v>#VALUE!</v>
      </c>
      <c r="W52" s="32">
        <f t="shared" ca="1" si="139"/>
        <v>0</v>
      </c>
      <c r="Z52" s="25"/>
      <c r="AA52" s="90" t="e">
        <f t="shared" ca="1" si="57"/>
        <v>#VALUE!</v>
      </c>
      <c r="AB52" s="25"/>
      <c r="AC52" s="2" t="e">
        <f t="shared" ca="1" si="140"/>
        <v>#VALUE!</v>
      </c>
      <c r="AD52" s="2" t="e">
        <f t="shared" ref="AD52:AL52" ca="1" si="167">MAX(0,MIN($V52,AD$11*$C52)-AC$11*$C52)*AC$10</f>
        <v>#VALUE!</v>
      </c>
      <c r="AE52" s="2" t="e">
        <f t="shared" ca="1" si="167"/>
        <v>#VALUE!</v>
      </c>
      <c r="AF52" s="2" t="e">
        <f t="shared" ca="1" si="167"/>
        <v>#VALUE!</v>
      </c>
      <c r="AG52" s="2" t="e">
        <f t="shared" ca="1" si="167"/>
        <v>#VALUE!</v>
      </c>
      <c r="AH52" s="2" t="e">
        <f t="shared" ca="1" si="167"/>
        <v>#VALUE!</v>
      </c>
      <c r="AI52" s="2" t="e">
        <f t="shared" ca="1" si="167"/>
        <v>#VALUE!</v>
      </c>
      <c r="AJ52" s="2" t="e">
        <f t="shared" ca="1" si="167"/>
        <v>#VALUE!</v>
      </c>
      <c r="AK52" s="2" t="e">
        <f t="shared" ca="1" si="167"/>
        <v>#VALUE!</v>
      </c>
      <c r="AL52" s="2" t="e">
        <f t="shared" ca="1" si="167"/>
        <v>#VALUE!</v>
      </c>
      <c r="AM52" s="25"/>
      <c r="AN52" s="2" t="e">
        <f t="shared" ca="1" si="142"/>
        <v>#VALUE!</v>
      </c>
      <c r="AO52" s="2" t="e">
        <f t="shared" ca="1" si="143"/>
        <v>#VALUE!</v>
      </c>
      <c r="AP52" s="25"/>
      <c r="AQ52" s="2" t="e">
        <f t="shared" ca="1" si="144"/>
        <v>#VALUE!</v>
      </c>
      <c r="AR52" s="2" t="e">
        <f t="shared" ref="AR52:AZ52" ca="1" si="168">MAX(0,MIN($R52,AR$11*$C52)-AQ$11*$C52)*AQ$10</f>
        <v>#VALUE!</v>
      </c>
      <c r="AS52" s="2" t="e">
        <f t="shared" ca="1" si="168"/>
        <v>#VALUE!</v>
      </c>
      <c r="AT52" s="2" t="e">
        <f t="shared" ca="1" si="168"/>
        <v>#VALUE!</v>
      </c>
      <c r="AU52" s="2" t="e">
        <f t="shared" ca="1" si="168"/>
        <v>#VALUE!</v>
      </c>
      <c r="AV52" s="2" t="e">
        <f t="shared" ca="1" si="168"/>
        <v>#VALUE!</v>
      </c>
      <c r="AW52" s="2" t="e">
        <f t="shared" ca="1" si="168"/>
        <v>#VALUE!</v>
      </c>
      <c r="AX52" s="2" t="e">
        <f t="shared" ca="1" si="168"/>
        <v>#VALUE!</v>
      </c>
      <c r="AY52" s="2" t="e">
        <f t="shared" ca="1" si="168"/>
        <v>#VALUE!</v>
      </c>
      <c r="AZ52" s="2" t="e">
        <f t="shared" ca="1" si="168"/>
        <v>#VALUE!</v>
      </c>
      <c r="BA52" s="25"/>
      <c r="BB52" s="2">
        <f t="shared" ca="1" si="146"/>
        <v>0</v>
      </c>
      <c r="BC52" s="2">
        <f t="shared" ref="BC52:BK52" ca="1" si="169">MAX(0,MIN($W52,BC$11*$C52)-BB$11*$C52)*BB$10</f>
        <v>0</v>
      </c>
      <c r="BD52" s="2">
        <f t="shared" ca="1" si="169"/>
        <v>0</v>
      </c>
      <c r="BE52" s="2">
        <f t="shared" ca="1" si="169"/>
        <v>0</v>
      </c>
      <c r="BF52" s="2">
        <f t="shared" ca="1" si="169"/>
        <v>0</v>
      </c>
      <c r="BG52" s="2">
        <f t="shared" ca="1" si="169"/>
        <v>0</v>
      </c>
      <c r="BH52" s="2">
        <f t="shared" ca="1" si="169"/>
        <v>0</v>
      </c>
      <c r="BI52" s="2">
        <f t="shared" ca="1" si="169"/>
        <v>0</v>
      </c>
      <c r="BJ52" s="2">
        <f t="shared" ca="1" si="169"/>
        <v>0</v>
      </c>
      <c r="BK52" s="2">
        <f t="shared" ca="1" si="169"/>
        <v>0</v>
      </c>
      <c r="BL52" s="25"/>
      <c r="BM52" s="145" t="e">
        <f t="shared" ca="1" si="148"/>
        <v>#VALUE!</v>
      </c>
      <c r="BN52" s="145" t="e">
        <f t="shared" ca="1" si="149"/>
        <v>#VALUE!</v>
      </c>
      <c r="BO52" s="145" t="e">
        <f t="shared" ca="1" si="150"/>
        <v>#VALUE!</v>
      </c>
      <c r="BP52" s="145" t="e">
        <f t="shared" ca="1" si="151"/>
        <v>#VALUE!</v>
      </c>
      <c r="BQ52" s="145">
        <f t="shared" ca="1" si="152"/>
        <v>0</v>
      </c>
      <c r="BR52" s="145" t="e">
        <f t="shared" ca="1" si="40"/>
        <v>#VALUE!</v>
      </c>
      <c r="BS52" s="145" t="e">
        <f t="shared" ca="1" si="153"/>
        <v>#VALUE!</v>
      </c>
      <c r="BT52" s="145" t="e">
        <f t="shared" ca="1" si="154"/>
        <v>#VALUE!</v>
      </c>
      <c r="BU52" s="145" t="e">
        <f t="shared" ca="1" si="155"/>
        <v>#VALUE!</v>
      </c>
      <c r="BV52" s="145" t="e">
        <f t="shared" ca="1" si="156"/>
        <v>#VALUE!</v>
      </c>
      <c r="BW52" s="146" t="e">
        <f t="shared" ca="1" si="157"/>
        <v>#VALUE!</v>
      </c>
      <c r="BX52" s="146" t="e">
        <f t="shared" ca="1" si="158"/>
        <v>#VALUE!</v>
      </c>
      <c r="BY52" s="146" t="e">
        <f t="shared" ca="1" si="159"/>
        <v>#VALUE!</v>
      </c>
    </row>
    <row r="53" spans="1:77" x14ac:dyDescent="0.25">
      <c r="A53" s="14">
        <f t="shared" si="160"/>
        <v>37</v>
      </c>
      <c r="B53" s="14">
        <f t="shared" si="160"/>
        <v>77</v>
      </c>
      <c r="C53" s="38">
        <f t="shared" si="4"/>
        <v>2.080685090590018</v>
      </c>
      <c r="D53" s="25"/>
      <c r="E53" s="74">
        <f>+SUMIFS(Income!D47:K47,Income!D$5:K$5,FALSE)</f>
        <v>52017.127264750452</v>
      </c>
      <c r="F53" s="74" t="str">
        <f ca="1">+Investments!P48</f>
        <v>EXPIRED</v>
      </c>
      <c r="G53" s="74" t="e">
        <f t="shared" ca="1" si="134"/>
        <v>#VALUE!</v>
      </c>
      <c r="H53" s="5">
        <f>+SUMIFS(Income!D47:K47,Income!D$5:K$5,TRUE)</f>
        <v>0</v>
      </c>
      <c r="I53" s="5" t="str">
        <f ca="1">+Investments!Q48</f>
        <v>EXPIRED</v>
      </c>
      <c r="J53" s="5">
        <f ca="1">+RealEstate!G42</f>
        <v>0</v>
      </c>
      <c r="K53" s="5">
        <f t="shared" ca="1" si="135"/>
        <v>0</v>
      </c>
      <c r="L53" s="5">
        <f t="shared" ca="1" si="136"/>
        <v>0</v>
      </c>
      <c r="M53" s="25"/>
      <c r="N53" s="77" t="str">
        <f ca="1">+Investments!N48</f>
        <v>EXPIRED</v>
      </c>
      <c r="O53" s="77">
        <f t="shared" ca="1" si="8"/>
        <v>0</v>
      </c>
      <c r="P53" s="25"/>
      <c r="Q53" s="32" t="e">
        <f t="shared" ca="1" si="41"/>
        <v>#VALUE!</v>
      </c>
      <c r="R53" s="32" t="e">
        <f t="shared" ca="1" si="137"/>
        <v>#VALUE!</v>
      </c>
      <c r="S53" s="32" t="e">
        <f ca="1">+AQ53+RealEstate!H42</f>
        <v>#VALUE!</v>
      </c>
      <c r="T53" s="32">
        <f ca="1">+RealEstate!I42</f>
        <v>0</v>
      </c>
      <c r="U53" s="32" t="e">
        <f t="shared" ca="1" si="138"/>
        <v>#VALUE!</v>
      </c>
      <c r="V53" s="32" t="e">
        <f t="shared" ca="1" si="36"/>
        <v>#VALUE!</v>
      </c>
      <c r="W53" s="32">
        <f t="shared" ca="1" si="139"/>
        <v>0</v>
      </c>
      <c r="Z53" s="25"/>
      <c r="AA53" s="90" t="e">
        <f t="shared" ca="1" si="57"/>
        <v>#VALUE!</v>
      </c>
      <c r="AB53" s="25"/>
      <c r="AC53" s="2" t="e">
        <f t="shared" ca="1" si="140"/>
        <v>#VALUE!</v>
      </c>
      <c r="AD53" s="2" t="e">
        <f t="shared" ref="AD53:AL53" ca="1" si="170">MAX(0,MIN($V53,AD$11*$C53)-AC$11*$C53)*AC$10</f>
        <v>#VALUE!</v>
      </c>
      <c r="AE53" s="2" t="e">
        <f t="shared" ca="1" si="170"/>
        <v>#VALUE!</v>
      </c>
      <c r="AF53" s="2" t="e">
        <f t="shared" ca="1" si="170"/>
        <v>#VALUE!</v>
      </c>
      <c r="AG53" s="2" t="e">
        <f t="shared" ca="1" si="170"/>
        <v>#VALUE!</v>
      </c>
      <c r="AH53" s="2" t="e">
        <f t="shared" ca="1" si="170"/>
        <v>#VALUE!</v>
      </c>
      <c r="AI53" s="2" t="e">
        <f t="shared" ca="1" si="170"/>
        <v>#VALUE!</v>
      </c>
      <c r="AJ53" s="2" t="e">
        <f t="shared" ca="1" si="170"/>
        <v>#VALUE!</v>
      </c>
      <c r="AK53" s="2" t="e">
        <f t="shared" ca="1" si="170"/>
        <v>#VALUE!</v>
      </c>
      <c r="AL53" s="2" t="e">
        <f t="shared" ca="1" si="170"/>
        <v>#VALUE!</v>
      </c>
      <c r="AM53" s="25"/>
      <c r="AN53" s="2" t="e">
        <f t="shared" ca="1" si="142"/>
        <v>#VALUE!</v>
      </c>
      <c r="AO53" s="2" t="e">
        <f t="shared" ca="1" si="143"/>
        <v>#VALUE!</v>
      </c>
      <c r="AP53" s="25"/>
      <c r="AQ53" s="2" t="e">
        <f t="shared" ca="1" si="144"/>
        <v>#VALUE!</v>
      </c>
      <c r="AR53" s="2" t="e">
        <f t="shared" ref="AR53:AZ53" ca="1" si="171">MAX(0,MIN($R53,AR$11*$C53)-AQ$11*$C53)*AQ$10</f>
        <v>#VALUE!</v>
      </c>
      <c r="AS53" s="2" t="e">
        <f t="shared" ca="1" si="171"/>
        <v>#VALUE!</v>
      </c>
      <c r="AT53" s="2" t="e">
        <f t="shared" ca="1" si="171"/>
        <v>#VALUE!</v>
      </c>
      <c r="AU53" s="2" t="e">
        <f t="shared" ca="1" si="171"/>
        <v>#VALUE!</v>
      </c>
      <c r="AV53" s="2" t="e">
        <f t="shared" ca="1" si="171"/>
        <v>#VALUE!</v>
      </c>
      <c r="AW53" s="2" t="e">
        <f t="shared" ca="1" si="171"/>
        <v>#VALUE!</v>
      </c>
      <c r="AX53" s="2" t="e">
        <f t="shared" ca="1" si="171"/>
        <v>#VALUE!</v>
      </c>
      <c r="AY53" s="2" t="e">
        <f t="shared" ca="1" si="171"/>
        <v>#VALUE!</v>
      </c>
      <c r="AZ53" s="2" t="e">
        <f t="shared" ca="1" si="171"/>
        <v>#VALUE!</v>
      </c>
      <c r="BA53" s="25"/>
      <c r="BB53" s="2">
        <f t="shared" ca="1" si="146"/>
        <v>0</v>
      </c>
      <c r="BC53" s="2">
        <f t="shared" ref="BC53:BK53" ca="1" si="172">MAX(0,MIN($W53,BC$11*$C53)-BB$11*$C53)*BB$10</f>
        <v>0</v>
      </c>
      <c r="BD53" s="2">
        <f t="shared" ca="1" si="172"/>
        <v>0</v>
      </c>
      <c r="BE53" s="2">
        <f t="shared" ca="1" si="172"/>
        <v>0</v>
      </c>
      <c r="BF53" s="2">
        <f t="shared" ca="1" si="172"/>
        <v>0</v>
      </c>
      <c r="BG53" s="2">
        <f t="shared" ca="1" si="172"/>
        <v>0</v>
      </c>
      <c r="BH53" s="2">
        <f t="shared" ca="1" si="172"/>
        <v>0</v>
      </c>
      <c r="BI53" s="2">
        <f t="shared" ca="1" si="172"/>
        <v>0</v>
      </c>
      <c r="BJ53" s="2">
        <f t="shared" ca="1" si="172"/>
        <v>0</v>
      </c>
      <c r="BK53" s="2">
        <f t="shared" ca="1" si="172"/>
        <v>0</v>
      </c>
      <c r="BL53" s="25"/>
      <c r="BM53" s="145" t="e">
        <f t="shared" ca="1" si="148"/>
        <v>#VALUE!</v>
      </c>
      <c r="BN53" s="145" t="e">
        <f t="shared" ca="1" si="149"/>
        <v>#VALUE!</v>
      </c>
      <c r="BO53" s="145" t="e">
        <f t="shared" ca="1" si="150"/>
        <v>#VALUE!</v>
      </c>
      <c r="BP53" s="145" t="e">
        <f t="shared" ca="1" si="151"/>
        <v>#VALUE!</v>
      </c>
      <c r="BQ53" s="145">
        <f t="shared" ca="1" si="152"/>
        <v>0</v>
      </c>
      <c r="BR53" s="145" t="e">
        <f t="shared" ca="1" si="40"/>
        <v>#VALUE!</v>
      </c>
      <c r="BS53" s="145" t="e">
        <f t="shared" ca="1" si="153"/>
        <v>#VALUE!</v>
      </c>
      <c r="BT53" s="145" t="e">
        <f t="shared" ca="1" si="154"/>
        <v>#VALUE!</v>
      </c>
      <c r="BU53" s="145" t="e">
        <f t="shared" ca="1" si="155"/>
        <v>#VALUE!</v>
      </c>
      <c r="BV53" s="145" t="e">
        <f t="shared" ca="1" si="156"/>
        <v>#VALUE!</v>
      </c>
      <c r="BW53" s="146" t="e">
        <f t="shared" ca="1" si="157"/>
        <v>#VALUE!</v>
      </c>
      <c r="BX53" s="146" t="e">
        <f t="shared" ca="1" si="158"/>
        <v>#VALUE!</v>
      </c>
      <c r="BY53" s="146" t="e">
        <f t="shared" ca="1" si="159"/>
        <v>#VALUE!</v>
      </c>
    </row>
    <row r="54" spans="1:77" x14ac:dyDescent="0.25">
      <c r="A54" s="14">
        <f t="shared" si="160"/>
        <v>38</v>
      </c>
      <c r="B54" s="14">
        <f t="shared" si="160"/>
        <v>78</v>
      </c>
      <c r="C54" s="38">
        <f t="shared" si="4"/>
        <v>2.1222987924018186</v>
      </c>
      <c r="D54" s="25"/>
      <c r="E54" s="74">
        <f>+SUMIFS(Income!D48:K48,Income!D$5:K$5,FALSE)</f>
        <v>53057.469810045463</v>
      </c>
      <c r="F54" s="74" t="str">
        <f ca="1">+Investments!P49</f>
        <v>EXPIRED</v>
      </c>
      <c r="G54" s="74" t="e">
        <f t="shared" ca="1" si="134"/>
        <v>#VALUE!</v>
      </c>
      <c r="H54" s="5">
        <f>+SUMIFS(Income!D48:K48,Income!D$5:K$5,TRUE)</f>
        <v>0</v>
      </c>
      <c r="I54" s="5" t="str">
        <f ca="1">+Investments!Q49</f>
        <v>EXPIRED</v>
      </c>
      <c r="J54" s="5">
        <f ca="1">+RealEstate!G43</f>
        <v>0</v>
      </c>
      <c r="K54" s="5">
        <f t="shared" ca="1" si="135"/>
        <v>0</v>
      </c>
      <c r="L54" s="5">
        <f t="shared" ca="1" si="136"/>
        <v>0</v>
      </c>
      <c r="M54" s="25"/>
      <c r="N54" s="77" t="str">
        <f ca="1">+Investments!N49</f>
        <v>EXPIRED</v>
      </c>
      <c r="O54" s="77">
        <f t="shared" ca="1" si="8"/>
        <v>0</v>
      </c>
      <c r="P54" s="25"/>
      <c r="Q54" s="32" t="e">
        <f t="shared" ca="1" si="41"/>
        <v>#VALUE!</v>
      </c>
      <c r="R54" s="32" t="e">
        <f t="shared" ca="1" si="137"/>
        <v>#VALUE!</v>
      </c>
      <c r="S54" s="32" t="e">
        <f ca="1">+AQ54+RealEstate!H43</f>
        <v>#VALUE!</v>
      </c>
      <c r="T54" s="32">
        <f ca="1">+RealEstate!I43</f>
        <v>0</v>
      </c>
      <c r="U54" s="32" t="e">
        <f t="shared" ca="1" si="138"/>
        <v>#VALUE!</v>
      </c>
      <c r="V54" s="32" t="e">
        <f t="shared" ca="1" si="36"/>
        <v>#VALUE!</v>
      </c>
      <c r="W54" s="32">
        <f t="shared" ca="1" si="139"/>
        <v>0</v>
      </c>
      <c r="Z54" s="25"/>
      <c r="AA54" s="90" t="e">
        <f t="shared" ca="1" si="57"/>
        <v>#VALUE!</v>
      </c>
      <c r="AB54" s="25"/>
      <c r="AC54" s="2" t="e">
        <f t="shared" ca="1" si="140"/>
        <v>#VALUE!</v>
      </c>
      <c r="AD54" s="2" t="e">
        <f t="shared" ref="AD54:AL54" ca="1" si="173">MAX(0,MIN($V54,AD$11*$C54)-AC$11*$C54)*AC$10</f>
        <v>#VALUE!</v>
      </c>
      <c r="AE54" s="2" t="e">
        <f t="shared" ca="1" si="173"/>
        <v>#VALUE!</v>
      </c>
      <c r="AF54" s="2" t="e">
        <f t="shared" ca="1" si="173"/>
        <v>#VALUE!</v>
      </c>
      <c r="AG54" s="2" t="e">
        <f t="shared" ca="1" si="173"/>
        <v>#VALUE!</v>
      </c>
      <c r="AH54" s="2" t="e">
        <f t="shared" ca="1" si="173"/>
        <v>#VALUE!</v>
      </c>
      <c r="AI54" s="2" t="e">
        <f t="shared" ca="1" si="173"/>
        <v>#VALUE!</v>
      </c>
      <c r="AJ54" s="2" t="e">
        <f t="shared" ca="1" si="173"/>
        <v>#VALUE!</v>
      </c>
      <c r="AK54" s="2" t="e">
        <f t="shared" ca="1" si="173"/>
        <v>#VALUE!</v>
      </c>
      <c r="AL54" s="2" t="e">
        <f t="shared" ca="1" si="173"/>
        <v>#VALUE!</v>
      </c>
      <c r="AM54" s="25"/>
      <c r="AN54" s="2" t="e">
        <f t="shared" ca="1" si="142"/>
        <v>#VALUE!</v>
      </c>
      <c r="AO54" s="2" t="e">
        <f t="shared" ca="1" si="143"/>
        <v>#VALUE!</v>
      </c>
      <c r="AP54" s="25"/>
      <c r="AQ54" s="2" t="e">
        <f t="shared" ca="1" si="144"/>
        <v>#VALUE!</v>
      </c>
      <c r="AR54" s="2" t="e">
        <f t="shared" ref="AR54:AZ54" ca="1" si="174">MAX(0,MIN($R54,AR$11*$C54)-AQ$11*$C54)*AQ$10</f>
        <v>#VALUE!</v>
      </c>
      <c r="AS54" s="2" t="e">
        <f t="shared" ca="1" si="174"/>
        <v>#VALUE!</v>
      </c>
      <c r="AT54" s="2" t="e">
        <f t="shared" ca="1" si="174"/>
        <v>#VALUE!</v>
      </c>
      <c r="AU54" s="2" t="e">
        <f t="shared" ca="1" si="174"/>
        <v>#VALUE!</v>
      </c>
      <c r="AV54" s="2" t="e">
        <f t="shared" ca="1" si="174"/>
        <v>#VALUE!</v>
      </c>
      <c r="AW54" s="2" t="e">
        <f t="shared" ca="1" si="174"/>
        <v>#VALUE!</v>
      </c>
      <c r="AX54" s="2" t="e">
        <f t="shared" ca="1" si="174"/>
        <v>#VALUE!</v>
      </c>
      <c r="AY54" s="2" t="e">
        <f t="shared" ca="1" si="174"/>
        <v>#VALUE!</v>
      </c>
      <c r="AZ54" s="2" t="e">
        <f t="shared" ca="1" si="174"/>
        <v>#VALUE!</v>
      </c>
      <c r="BA54" s="25"/>
      <c r="BB54" s="2">
        <f t="shared" ca="1" si="146"/>
        <v>0</v>
      </c>
      <c r="BC54" s="2">
        <f t="shared" ref="BC54:BK54" ca="1" si="175">MAX(0,MIN($W54,BC$11*$C54)-BB$11*$C54)*BB$10</f>
        <v>0</v>
      </c>
      <c r="BD54" s="2">
        <f t="shared" ca="1" si="175"/>
        <v>0</v>
      </c>
      <c r="BE54" s="2">
        <f t="shared" ca="1" si="175"/>
        <v>0</v>
      </c>
      <c r="BF54" s="2">
        <f t="shared" ca="1" si="175"/>
        <v>0</v>
      </c>
      <c r="BG54" s="2">
        <f t="shared" ca="1" si="175"/>
        <v>0</v>
      </c>
      <c r="BH54" s="2">
        <f t="shared" ca="1" si="175"/>
        <v>0</v>
      </c>
      <c r="BI54" s="2">
        <f t="shared" ca="1" si="175"/>
        <v>0</v>
      </c>
      <c r="BJ54" s="2">
        <f t="shared" ca="1" si="175"/>
        <v>0</v>
      </c>
      <c r="BK54" s="2">
        <f t="shared" ca="1" si="175"/>
        <v>0</v>
      </c>
      <c r="BL54" s="25"/>
      <c r="BM54" s="145" t="e">
        <f t="shared" ca="1" si="148"/>
        <v>#VALUE!</v>
      </c>
      <c r="BN54" s="145" t="e">
        <f t="shared" ca="1" si="149"/>
        <v>#VALUE!</v>
      </c>
      <c r="BO54" s="145" t="e">
        <f t="shared" ca="1" si="150"/>
        <v>#VALUE!</v>
      </c>
      <c r="BP54" s="145" t="e">
        <f t="shared" ca="1" si="151"/>
        <v>#VALUE!</v>
      </c>
      <c r="BQ54" s="145">
        <f t="shared" ca="1" si="152"/>
        <v>0</v>
      </c>
      <c r="BR54" s="145" t="e">
        <f t="shared" ca="1" si="40"/>
        <v>#VALUE!</v>
      </c>
      <c r="BS54" s="145" t="e">
        <f t="shared" ca="1" si="153"/>
        <v>#VALUE!</v>
      </c>
      <c r="BT54" s="145" t="e">
        <f t="shared" ca="1" si="154"/>
        <v>#VALUE!</v>
      </c>
      <c r="BU54" s="145" t="e">
        <f t="shared" ca="1" si="155"/>
        <v>#VALUE!</v>
      </c>
      <c r="BV54" s="145" t="e">
        <f t="shared" ca="1" si="156"/>
        <v>#VALUE!</v>
      </c>
      <c r="BW54" s="146" t="e">
        <f t="shared" ca="1" si="157"/>
        <v>#VALUE!</v>
      </c>
      <c r="BX54" s="146" t="e">
        <f t="shared" ca="1" si="158"/>
        <v>#VALUE!</v>
      </c>
      <c r="BY54" s="146" t="e">
        <f t="shared" ca="1" si="159"/>
        <v>#VALUE!</v>
      </c>
    </row>
    <row r="55" spans="1:77" x14ac:dyDescent="0.25">
      <c r="A55" s="14">
        <f t="shared" si="160"/>
        <v>39</v>
      </c>
      <c r="B55" s="14">
        <f t="shared" si="160"/>
        <v>79</v>
      </c>
      <c r="C55" s="38">
        <f t="shared" si="4"/>
        <v>2.1647447682498542</v>
      </c>
      <c r="D55" s="25"/>
      <c r="E55" s="74">
        <f>+SUMIFS(Income!D49:K49,Income!D$5:K$5,FALSE)</f>
        <v>54118.619206246352</v>
      </c>
      <c r="F55" s="74" t="str">
        <f ca="1">+Investments!P50</f>
        <v>EXPIRED</v>
      </c>
      <c r="G55" s="74" t="e">
        <f t="shared" ca="1" si="134"/>
        <v>#VALUE!</v>
      </c>
      <c r="H55" s="5">
        <f>+SUMIFS(Income!D49:K49,Income!D$5:K$5,TRUE)</f>
        <v>0</v>
      </c>
      <c r="I55" s="5" t="str">
        <f ca="1">+Investments!Q50</f>
        <v>EXPIRED</v>
      </c>
      <c r="J55" s="5">
        <f ca="1">+RealEstate!G44</f>
        <v>0</v>
      </c>
      <c r="K55" s="5">
        <f t="shared" ca="1" si="135"/>
        <v>0</v>
      </c>
      <c r="L55" s="5">
        <f t="shared" ca="1" si="136"/>
        <v>0</v>
      </c>
      <c r="M55" s="25"/>
      <c r="N55" s="77" t="str">
        <f ca="1">+Investments!N50</f>
        <v>EXPIRED</v>
      </c>
      <c r="O55" s="77">
        <f t="shared" ca="1" si="8"/>
        <v>0</v>
      </c>
      <c r="P55" s="25"/>
      <c r="Q55" s="32" t="e">
        <f t="shared" ca="1" si="41"/>
        <v>#VALUE!</v>
      </c>
      <c r="R55" s="32" t="e">
        <f t="shared" ca="1" si="137"/>
        <v>#VALUE!</v>
      </c>
      <c r="S55" s="32" t="e">
        <f ca="1">+AQ55+RealEstate!H44</f>
        <v>#VALUE!</v>
      </c>
      <c r="T55" s="32">
        <f ca="1">+RealEstate!I44</f>
        <v>0</v>
      </c>
      <c r="U55" s="32" t="e">
        <f t="shared" ca="1" si="138"/>
        <v>#VALUE!</v>
      </c>
      <c r="V55" s="32" t="e">
        <f t="shared" ca="1" si="36"/>
        <v>#VALUE!</v>
      </c>
      <c r="W55" s="32">
        <f t="shared" ca="1" si="139"/>
        <v>0</v>
      </c>
      <c r="Z55" s="25"/>
      <c r="AA55" s="90" t="e">
        <f t="shared" ca="1" si="57"/>
        <v>#VALUE!</v>
      </c>
      <c r="AB55" s="25"/>
      <c r="AC55" s="2" t="e">
        <f t="shared" ca="1" si="140"/>
        <v>#VALUE!</v>
      </c>
      <c r="AD55" s="2" t="e">
        <f t="shared" ref="AD55:AL55" ca="1" si="176">MAX(0,MIN($V55,AD$11*$C55)-AC$11*$C55)*AC$10</f>
        <v>#VALUE!</v>
      </c>
      <c r="AE55" s="2" t="e">
        <f t="shared" ca="1" si="176"/>
        <v>#VALUE!</v>
      </c>
      <c r="AF55" s="2" t="e">
        <f t="shared" ca="1" si="176"/>
        <v>#VALUE!</v>
      </c>
      <c r="AG55" s="2" t="e">
        <f t="shared" ca="1" si="176"/>
        <v>#VALUE!</v>
      </c>
      <c r="AH55" s="2" t="e">
        <f t="shared" ca="1" si="176"/>
        <v>#VALUE!</v>
      </c>
      <c r="AI55" s="2" t="e">
        <f t="shared" ca="1" si="176"/>
        <v>#VALUE!</v>
      </c>
      <c r="AJ55" s="2" t="e">
        <f t="shared" ca="1" si="176"/>
        <v>#VALUE!</v>
      </c>
      <c r="AK55" s="2" t="e">
        <f t="shared" ca="1" si="176"/>
        <v>#VALUE!</v>
      </c>
      <c r="AL55" s="2" t="e">
        <f t="shared" ca="1" si="176"/>
        <v>#VALUE!</v>
      </c>
      <c r="AM55" s="25"/>
      <c r="AN55" s="2" t="e">
        <f t="shared" ca="1" si="142"/>
        <v>#VALUE!</v>
      </c>
      <c r="AO55" s="2" t="e">
        <f t="shared" ca="1" si="143"/>
        <v>#VALUE!</v>
      </c>
      <c r="AP55" s="25"/>
      <c r="AQ55" s="2" t="e">
        <f t="shared" ca="1" si="144"/>
        <v>#VALUE!</v>
      </c>
      <c r="AR55" s="2" t="e">
        <f t="shared" ref="AR55:AZ55" ca="1" si="177">MAX(0,MIN($R55,AR$11*$C55)-AQ$11*$C55)*AQ$10</f>
        <v>#VALUE!</v>
      </c>
      <c r="AS55" s="2" t="e">
        <f t="shared" ca="1" si="177"/>
        <v>#VALUE!</v>
      </c>
      <c r="AT55" s="2" t="e">
        <f t="shared" ca="1" si="177"/>
        <v>#VALUE!</v>
      </c>
      <c r="AU55" s="2" t="e">
        <f t="shared" ca="1" si="177"/>
        <v>#VALUE!</v>
      </c>
      <c r="AV55" s="2" t="e">
        <f t="shared" ca="1" si="177"/>
        <v>#VALUE!</v>
      </c>
      <c r="AW55" s="2" t="e">
        <f t="shared" ca="1" si="177"/>
        <v>#VALUE!</v>
      </c>
      <c r="AX55" s="2" t="e">
        <f t="shared" ca="1" si="177"/>
        <v>#VALUE!</v>
      </c>
      <c r="AY55" s="2" t="e">
        <f t="shared" ca="1" si="177"/>
        <v>#VALUE!</v>
      </c>
      <c r="AZ55" s="2" t="e">
        <f t="shared" ca="1" si="177"/>
        <v>#VALUE!</v>
      </c>
      <c r="BA55" s="25"/>
      <c r="BB55" s="2">
        <f t="shared" ca="1" si="146"/>
        <v>0</v>
      </c>
      <c r="BC55" s="2">
        <f t="shared" ref="BC55:BK55" ca="1" si="178">MAX(0,MIN($W55,BC$11*$C55)-BB$11*$C55)*BB$10</f>
        <v>0</v>
      </c>
      <c r="BD55" s="2">
        <f t="shared" ca="1" si="178"/>
        <v>0</v>
      </c>
      <c r="BE55" s="2">
        <f t="shared" ca="1" si="178"/>
        <v>0</v>
      </c>
      <c r="BF55" s="2">
        <f t="shared" ca="1" si="178"/>
        <v>0</v>
      </c>
      <c r="BG55" s="2">
        <f t="shared" ca="1" si="178"/>
        <v>0</v>
      </c>
      <c r="BH55" s="2">
        <f t="shared" ca="1" si="178"/>
        <v>0</v>
      </c>
      <c r="BI55" s="2">
        <f t="shared" ca="1" si="178"/>
        <v>0</v>
      </c>
      <c r="BJ55" s="2">
        <f t="shared" ca="1" si="178"/>
        <v>0</v>
      </c>
      <c r="BK55" s="2">
        <f t="shared" ca="1" si="178"/>
        <v>0</v>
      </c>
      <c r="BL55" s="25"/>
      <c r="BM55" s="145" t="e">
        <f t="shared" ca="1" si="148"/>
        <v>#VALUE!</v>
      </c>
      <c r="BN55" s="145" t="e">
        <f t="shared" ca="1" si="149"/>
        <v>#VALUE!</v>
      </c>
      <c r="BO55" s="145" t="e">
        <f t="shared" ca="1" si="150"/>
        <v>#VALUE!</v>
      </c>
      <c r="BP55" s="145" t="e">
        <f t="shared" ca="1" si="151"/>
        <v>#VALUE!</v>
      </c>
      <c r="BQ55" s="145">
        <f t="shared" ca="1" si="152"/>
        <v>0</v>
      </c>
      <c r="BR55" s="145" t="e">
        <f t="shared" ca="1" si="40"/>
        <v>#VALUE!</v>
      </c>
      <c r="BS55" s="145" t="e">
        <f t="shared" ca="1" si="153"/>
        <v>#VALUE!</v>
      </c>
      <c r="BT55" s="145" t="e">
        <f t="shared" ca="1" si="154"/>
        <v>#VALUE!</v>
      </c>
      <c r="BU55" s="145" t="e">
        <f t="shared" ca="1" si="155"/>
        <v>#VALUE!</v>
      </c>
      <c r="BV55" s="145" t="e">
        <f t="shared" ca="1" si="156"/>
        <v>#VALUE!</v>
      </c>
      <c r="BW55" s="146" t="e">
        <f t="shared" ca="1" si="157"/>
        <v>#VALUE!</v>
      </c>
      <c r="BX55" s="146" t="e">
        <f t="shared" ca="1" si="158"/>
        <v>#VALUE!</v>
      </c>
      <c r="BY55" s="146" t="e">
        <f t="shared" ca="1" si="159"/>
        <v>#VALUE!</v>
      </c>
    </row>
    <row r="56" spans="1:77" x14ac:dyDescent="0.25">
      <c r="A56" s="14">
        <f t="shared" si="160"/>
        <v>40</v>
      </c>
      <c r="B56" s="14">
        <f t="shared" si="160"/>
        <v>80</v>
      </c>
      <c r="C56" s="38">
        <f t="shared" si="4"/>
        <v>2.2080396636148518</v>
      </c>
      <c r="D56" s="25"/>
      <c r="E56" s="74">
        <f>+SUMIFS(Income!D50:K50,Income!D$5:K$5,FALSE)</f>
        <v>55200.991590371297</v>
      </c>
      <c r="F56" s="74" t="str">
        <f ca="1">+Investments!P51</f>
        <v>EXPIRED</v>
      </c>
      <c r="G56" s="74" t="e">
        <f t="shared" ca="1" si="134"/>
        <v>#VALUE!</v>
      </c>
      <c r="H56" s="5">
        <f>+SUMIFS(Income!D50:K50,Income!D$5:K$5,TRUE)</f>
        <v>0</v>
      </c>
      <c r="I56" s="5" t="str">
        <f ca="1">+Investments!Q51</f>
        <v>EXPIRED</v>
      </c>
      <c r="J56" s="5">
        <f ca="1">+RealEstate!G45</f>
        <v>0</v>
      </c>
      <c r="K56" s="5">
        <f t="shared" ca="1" si="135"/>
        <v>0</v>
      </c>
      <c r="L56" s="5">
        <f t="shared" ca="1" si="136"/>
        <v>0</v>
      </c>
      <c r="M56" s="25"/>
      <c r="N56" s="77" t="str">
        <f ca="1">+Investments!N51</f>
        <v>EXPIRED</v>
      </c>
      <c r="O56" s="77">
        <f t="shared" ca="1" si="8"/>
        <v>0</v>
      </c>
      <c r="P56" s="25"/>
      <c r="Q56" s="32" t="e">
        <f t="shared" ca="1" si="41"/>
        <v>#VALUE!</v>
      </c>
      <c r="R56" s="32" t="e">
        <f t="shared" ca="1" si="137"/>
        <v>#VALUE!</v>
      </c>
      <c r="S56" s="32" t="e">
        <f ca="1">+AQ56+RealEstate!H45</f>
        <v>#VALUE!</v>
      </c>
      <c r="T56" s="32">
        <f ca="1">+RealEstate!I45</f>
        <v>0</v>
      </c>
      <c r="U56" s="32" t="e">
        <f t="shared" ca="1" si="138"/>
        <v>#VALUE!</v>
      </c>
      <c r="V56" s="32" t="e">
        <f t="shared" ca="1" si="36"/>
        <v>#VALUE!</v>
      </c>
      <c r="W56" s="32">
        <f t="shared" ca="1" si="139"/>
        <v>0</v>
      </c>
      <c r="Z56" s="25"/>
      <c r="AA56" s="90" t="e">
        <f t="shared" ca="1" si="57"/>
        <v>#VALUE!</v>
      </c>
      <c r="AB56" s="25"/>
      <c r="AC56" s="2" t="e">
        <f t="shared" ca="1" si="140"/>
        <v>#VALUE!</v>
      </c>
      <c r="AD56" s="2" t="e">
        <f t="shared" ref="AD56:AL56" ca="1" si="179">MAX(0,MIN($V56,AD$11*$C56)-AC$11*$C56)*AC$10</f>
        <v>#VALUE!</v>
      </c>
      <c r="AE56" s="2" t="e">
        <f t="shared" ca="1" si="179"/>
        <v>#VALUE!</v>
      </c>
      <c r="AF56" s="2" t="e">
        <f t="shared" ca="1" si="179"/>
        <v>#VALUE!</v>
      </c>
      <c r="AG56" s="2" t="e">
        <f t="shared" ca="1" si="179"/>
        <v>#VALUE!</v>
      </c>
      <c r="AH56" s="2" t="e">
        <f t="shared" ca="1" si="179"/>
        <v>#VALUE!</v>
      </c>
      <c r="AI56" s="2" t="e">
        <f t="shared" ca="1" si="179"/>
        <v>#VALUE!</v>
      </c>
      <c r="AJ56" s="2" t="e">
        <f t="shared" ca="1" si="179"/>
        <v>#VALUE!</v>
      </c>
      <c r="AK56" s="2" t="e">
        <f t="shared" ca="1" si="179"/>
        <v>#VALUE!</v>
      </c>
      <c r="AL56" s="2" t="e">
        <f t="shared" ca="1" si="179"/>
        <v>#VALUE!</v>
      </c>
      <c r="AM56" s="25"/>
      <c r="AN56" s="2" t="e">
        <f t="shared" ca="1" si="142"/>
        <v>#VALUE!</v>
      </c>
      <c r="AO56" s="2" t="e">
        <f t="shared" ca="1" si="143"/>
        <v>#VALUE!</v>
      </c>
      <c r="AP56" s="25"/>
      <c r="AQ56" s="2" t="e">
        <f t="shared" ca="1" si="144"/>
        <v>#VALUE!</v>
      </c>
      <c r="AR56" s="2" t="e">
        <f t="shared" ref="AR56:AZ56" ca="1" si="180">MAX(0,MIN($R56,AR$11*$C56)-AQ$11*$C56)*AQ$10</f>
        <v>#VALUE!</v>
      </c>
      <c r="AS56" s="2" t="e">
        <f t="shared" ca="1" si="180"/>
        <v>#VALUE!</v>
      </c>
      <c r="AT56" s="2" t="e">
        <f t="shared" ca="1" si="180"/>
        <v>#VALUE!</v>
      </c>
      <c r="AU56" s="2" t="e">
        <f t="shared" ca="1" si="180"/>
        <v>#VALUE!</v>
      </c>
      <c r="AV56" s="2" t="e">
        <f t="shared" ca="1" si="180"/>
        <v>#VALUE!</v>
      </c>
      <c r="AW56" s="2" t="e">
        <f t="shared" ca="1" si="180"/>
        <v>#VALUE!</v>
      </c>
      <c r="AX56" s="2" t="e">
        <f t="shared" ca="1" si="180"/>
        <v>#VALUE!</v>
      </c>
      <c r="AY56" s="2" t="e">
        <f t="shared" ca="1" si="180"/>
        <v>#VALUE!</v>
      </c>
      <c r="AZ56" s="2" t="e">
        <f t="shared" ca="1" si="180"/>
        <v>#VALUE!</v>
      </c>
      <c r="BA56" s="25"/>
      <c r="BB56" s="2">
        <f t="shared" ca="1" si="146"/>
        <v>0</v>
      </c>
      <c r="BC56" s="2">
        <f t="shared" ref="BC56:BK56" ca="1" si="181">MAX(0,MIN($W56,BC$11*$C56)-BB$11*$C56)*BB$10</f>
        <v>0</v>
      </c>
      <c r="BD56" s="2">
        <f t="shared" ca="1" si="181"/>
        <v>0</v>
      </c>
      <c r="BE56" s="2">
        <f t="shared" ca="1" si="181"/>
        <v>0</v>
      </c>
      <c r="BF56" s="2">
        <f t="shared" ca="1" si="181"/>
        <v>0</v>
      </c>
      <c r="BG56" s="2">
        <f t="shared" ca="1" si="181"/>
        <v>0</v>
      </c>
      <c r="BH56" s="2">
        <f t="shared" ca="1" si="181"/>
        <v>0</v>
      </c>
      <c r="BI56" s="2">
        <f t="shared" ca="1" si="181"/>
        <v>0</v>
      </c>
      <c r="BJ56" s="2">
        <f t="shared" ca="1" si="181"/>
        <v>0</v>
      </c>
      <c r="BK56" s="2">
        <f t="shared" ca="1" si="181"/>
        <v>0</v>
      </c>
      <c r="BL56" s="25"/>
      <c r="BM56" s="145" t="e">
        <f t="shared" ca="1" si="148"/>
        <v>#VALUE!</v>
      </c>
      <c r="BN56" s="145" t="e">
        <f t="shared" ca="1" si="149"/>
        <v>#VALUE!</v>
      </c>
      <c r="BO56" s="145" t="e">
        <f t="shared" ca="1" si="150"/>
        <v>#VALUE!</v>
      </c>
      <c r="BP56" s="145" t="e">
        <f t="shared" ca="1" si="151"/>
        <v>#VALUE!</v>
      </c>
      <c r="BQ56" s="145">
        <f t="shared" ca="1" si="152"/>
        <v>0</v>
      </c>
      <c r="BR56" s="145" t="e">
        <f t="shared" ca="1" si="40"/>
        <v>#VALUE!</v>
      </c>
      <c r="BS56" s="145" t="e">
        <f t="shared" ca="1" si="153"/>
        <v>#VALUE!</v>
      </c>
      <c r="BT56" s="145" t="e">
        <f t="shared" ca="1" si="154"/>
        <v>#VALUE!</v>
      </c>
      <c r="BU56" s="145" t="e">
        <f t="shared" ca="1" si="155"/>
        <v>#VALUE!</v>
      </c>
      <c r="BV56" s="145" t="e">
        <f t="shared" ca="1" si="156"/>
        <v>#VALUE!</v>
      </c>
      <c r="BW56" s="146" t="e">
        <f t="shared" ca="1" si="157"/>
        <v>#VALUE!</v>
      </c>
      <c r="BX56" s="146" t="e">
        <f t="shared" ca="1" si="158"/>
        <v>#VALUE!</v>
      </c>
      <c r="BY56" s="146" t="e">
        <f t="shared" ca="1" si="159"/>
        <v>#VALUE!</v>
      </c>
    </row>
    <row r="57" spans="1:77" x14ac:dyDescent="0.25">
      <c r="A57" s="14">
        <f t="shared" si="160"/>
        <v>41</v>
      </c>
      <c r="B57" s="14">
        <f t="shared" si="160"/>
        <v>81</v>
      </c>
      <c r="C57" s="38">
        <f t="shared" si="4"/>
        <v>2.2522004568871488</v>
      </c>
      <c r="D57" s="25"/>
      <c r="E57" s="74">
        <f>+SUMIFS(Income!D51:K51,Income!D$5:K$5,FALSE)</f>
        <v>56305.011422178723</v>
      </c>
      <c r="F57" s="74" t="str">
        <f ca="1">+Investments!P52</f>
        <v>EXPIRED</v>
      </c>
      <c r="G57" s="74" t="e">
        <f t="shared" ca="1" si="134"/>
        <v>#VALUE!</v>
      </c>
      <c r="H57" s="5">
        <f>+SUMIFS(Income!D51:K51,Income!D$5:K$5,TRUE)</f>
        <v>0</v>
      </c>
      <c r="I57" s="5" t="str">
        <f ca="1">+Investments!Q52</f>
        <v>EXPIRED</v>
      </c>
      <c r="J57" s="5">
        <f ca="1">+RealEstate!G46</f>
        <v>0</v>
      </c>
      <c r="K57" s="5">
        <f t="shared" ca="1" si="135"/>
        <v>0</v>
      </c>
      <c r="L57" s="5">
        <f t="shared" ca="1" si="136"/>
        <v>0</v>
      </c>
      <c r="M57" s="25"/>
      <c r="N57" s="77" t="str">
        <f ca="1">+Investments!N52</f>
        <v>EXPIRED</v>
      </c>
      <c r="O57" s="77">
        <f t="shared" ca="1" si="8"/>
        <v>0</v>
      </c>
      <c r="P57" s="25"/>
      <c r="Q57" s="32" t="e">
        <f t="shared" ca="1" si="41"/>
        <v>#VALUE!</v>
      </c>
      <c r="R57" s="32" t="e">
        <f t="shared" ca="1" si="137"/>
        <v>#VALUE!</v>
      </c>
      <c r="S57" s="32" t="e">
        <f ca="1">+AQ57+RealEstate!H46</f>
        <v>#VALUE!</v>
      </c>
      <c r="T57" s="32">
        <f ca="1">+RealEstate!I46</f>
        <v>0</v>
      </c>
      <c r="U57" s="32" t="e">
        <f t="shared" ca="1" si="138"/>
        <v>#VALUE!</v>
      </c>
      <c r="V57" s="32" t="e">
        <f t="shared" ca="1" si="36"/>
        <v>#VALUE!</v>
      </c>
      <c r="W57" s="32">
        <f t="shared" ca="1" si="139"/>
        <v>0</v>
      </c>
      <c r="Z57" s="25"/>
      <c r="AA57" s="90" t="e">
        <f t="shared" ca="1" si="57"/>
        <v>#VALUE!</v>
      </c>
      <c r="AB57" s="25"/>
      <c r="AC57" s="2" t="e">
        <f t="shared" ca="1" si="140"/>
        <v>#VALUE!</v>
      </c>
      <c r="AD57" s="2" t="e">
        <f t="shared" ref="AD57:AL57" ca="1" si="182">MAX(0,MIN($V57,AD$11*$C57)-AC$11*$C57)*AC$10</f>
        <v>#VALUE!</v>
      </c>
      <c r="AE57" s="2" t="e">
        <f t="shared" ca="1" si="182"/>
        <v>#VALUE!</v>
      </c>
      <c r="AF57" s="2" t="e">
        <f t="shared" ca="1" si="182"/>
        <v>#VALUE!</v>
      </c>
      <c r="AG57" s="2" t="e">
        <f t="shared" ca="1" si="182"/>
        <v>#VALUE!</v>
      </c>
      <c r="AH57" s="2" t="e">
        <f t="shared" ca="1" si="182"/>
        <v>#VALUE!</v>
      </c>
      <c r="AI57" s="2" t="e">
        <f t="shared" ca="1" si="182"/>
        <v>#VALUE!</v>
      </c>
      <c r="AJ57" s="2" t="e">
        <f t="shared" ca="1" si="182"/>
        <v>#VALUE!</v>
      </c>
      <c r="AK57" s="2" t="e">
        <f t="shared" ca="1" si="182"/>
        <v>#VALUE!</v>
      </c>
      <c r="AL57" s="2" t="e">
        <f t="shared" ca="1" si="182"/>
        <v>#VALUE!</v>
      </c>
      <c r="AM57" s="25"/>
      <c r="AN57" s="2" t="e">
        <f t="shared" ca="1" si="142"/>
        <v>#VALUE!</v>
      </c>
      <c r="AO57" s="2" t="e">
        <f t="shared" ca="1" si="143"/>
        <v>#VALUE!</v>
      </c>
      <c r="AP57" s="25"/>
      <c r="AQ57" s="2" t="e">
        <f t="shared" ca="1" si="144"/>
        <v>#VALUE!</v>
      </c>
      <c r="AR57" s="2" t="e">
        <f t="shared" ref="AR57:AZ57" ca="1" si="183">MAX(0,MIN($R57,AR$11*$C57)-AQ$11*$C57)*AQ$10</f>
        <v>#VALUE!</v>
      </c>
      <c r="AS57" s="2" t="e">
        <f t="shared" ca="1" si="183"/>
        <v>#VALUE!</v>
      </c>
      <c r="AT57" s="2" t="e">
        <f t="shared" ca="1" si="183"/>
        <v>#VALUE!</v>
      </c>
      <c r="AU57" s="2" t="e">
        <f t="shared" ca="1" si="183"/>
        <v>#VALUE!</v>
      </c>
      <c r="AV57" s="2" t="e">
        <f t="shared" ca="1" si="183"/>
        <v>#VALUE!</v>
      </c>
      <c r="AW57" s="2" t="e">
        <f t="shared" ca="1" si="183"/>
        <v>#VALUE!</v>
      </c>
      <c r="AX57" s="2" t="e">
        <f t="shared" ca="1" si="183"/>
        <v>#VALUE!</v>
      </c>
      <c r="AY57" s="2" t="e">
        <f t="shared" ca="1" si="183"/>
        <v>#VALUE!</v>
      </c>
      <c r="AZ57" s="2" t="e">
        <f t="shared" ca="1" si="183"/>
        <v>#VALUE!</v>
      </c>
      <c r="BA57" s="25"/>
      <c r="BB57" s="2">
        <f t="shared" ca="1" si="146"/>
        <v>0</v>
      </c>
      <c r="BC57" s="2">
        <f t="shared" ref="BC57:BK57" ca="1" si="184">MAX(0,MIN($W57,BC$11*$C57)-BB$11*$C57)*BB$10</f>
        <v>0</v>
      </c>
      <c r="BD57" s="2">
        <f t="shared" ca="1" si="184"/>
        <v>0</v>
      </c>
      <c r="BE57" s="2">
        <f t="shared" ca="1" si="184"/>
        <v>0</v>
      </c>
      <c r="BF57" s="2">
        <f t="shared" ca="1" si="184"/>
        <v>0</v>
      </c>
      <c r="BG57" s="2">
        <f t="shared" ca="1" si="184"/>
        <v>0</v>
      </c>
      <c r="BH57" s="2">
        <f t="shared" ca="1" si="184"/>
        <v>0</v>
      </c>
      <c r="BI57" s="2">
        <f t="shared" ca="1" si="184"/>
        <v>0</v>
      </c>
      <c r="BJ57" s="2">
        <f t="shared" ca="1" si="184"/>
        <v>0</v>
      </c>
      <c r="BK57" s="2">
        <f t="shared" ca="1" si="184"/>
        <v>0</v>
      </c>
      <c r="BL57" s="25"/>
      <c r="BM57" s="145" t="e">
        <f t="shared" ca="1" si="148"/>
        <v>#VALUE!</v>
      </c>
      <c r="BN57" s="145" t="e">
        <f t="shared" ca="1" si="149"/>
        <v>#VALUE!</v>
      </c>
      <c r="BO57" s="145" t="e">
        <f t="shared" ca="1" si="150"/>
        <v>#VALUE!</v>
      </c>
      <c r="BP57" s="145" t="e">
        <f t="shared" ca="1" si="151"/>
        <v>#VALUE!</v>
      </c>
      <c r="BQ57" s="145">
        <f t="shared" ca="1" si="152"/>
        <v>0</v>
      </c>
      <c r="BR57" s="145" t="e">
        <f t="shared" ca="1" si="40"/>
        <v>#VALUE!</v>
      </c>
      <c r="BS57" s="145" t="e">
        <f t="shared" ca="1" si="153"/>
        <v>#VALUE!</v>
      </c>
      <c r="BT57" s="145" t="e">
        <f t="shared" ca="1" si="154"/>
        <v>#VALUE!</v>
      </c>
      <c r="BU57" s="145" t="e">
        <f t="shared" ca="1" si="155"/>
        <v>#VALUE!</v>
      </c>
      <c r="BV57" s="145" t="e">
        <f t="shared" ca="1" si="156"/>
        <v>#VALUE!</v>
      </c>
      <c r="BW57" s="146" t="e">
        <f t="shared" ca="1" si="157"/>
        <v>#VALUE!</v>
      </c>
      <c r="BX57" s="146" t="e">
        <f t="shared" ca="1" si="158"/>
        <v>#VALUE!</v>
      </c>
      <c r="BY57" s="146" t="e">
        <f t="shared" ca="1" si="159"/>
        <v>#VALUE!</v>
      </c>
    </row>
    <row r="58" spans="1:77" x14ac:dyDescent="0.25">
      <c r="A58" s="14">
        <f t="shared" si="160"/>
        <v>42</v>
      </c>
      <c r="B58" s="14">
        <f t="shared" si="160"/>
        <v>82</v>
      </c>
      <c r="C58" s="38">
        <f t="shared" si="4"/>
        <v>2.2972444660248916</v>
      </c>
      <c r="D58" s="25"/>
      <c r="E58" s="74">
        <f>+SUMIFS(Income!D52:K52,Income!D$5:K$5,FALSE)</f>
        <v>57431.11165062229</v>
      </c>
      <c r="F58" s="74" t="str">
        <f ca="1">+Investments!P53</f>
        <v>EXPIRED</v>
      </c>
      <c r="G58" s="74" t="e">
        <f t="shared" ca="1" si="134"/>
        <v>#VALUE!</v>
      </c>
      <c r="H58" s="5">
        <f>+SUMIFS(Income!D52:K52,Income!D$5:K$5,TRUE)</f>
        <v>0</v>
      </c>
      <c r="I58" s="5" t="str">
        <f ca="1">+Investments!Q53</f>
        <v>EXPIRED</v>
      </c>
      <c r="J58" s="5">
        <f ca="1">+RealEstate!G47</f>
        <v>0</v>
      </c>
      <c r="K58" s="5">
        <f t="shared" ca="1" si="135"/>
        <v>0</v>
      </c>
      <c r="L58" s="5">
        <f t="shared" ca="1" si="136"/>
        <v>0</v>
      </c>
      <c r="M58" s="25"/>
      <c r="N58" s="77" t="str">
        <f ca="1">+Investments!N53</f>
        <v>EXPIRED</v>
      </c>
      <c r="O58" s="77">
        <f t="shared" ca="1" si="8"/>
        <v>0</v>
      </c>
      <c r="P58" s="25"/>
      <c r="Q58" s="32" t="e">
        <f t="shared" ca="1" si="41"/>
        <v>#VALUE!</v>
      </c>
      <c r="R58" s="32" t="e">
        <f t="shared" ca="1" si="137"/>
        <v>#VALUE!</v>
      </c>
      <c r="S58" s="32" t="e">
        <f ca="1">+AQ58+RealEstate!H47</f>
        <v>#VALUE!</v>
      </c>
      <c r="T58" s="32">
        <f ca="1">+RealEstate!I47</f>
        <v>0</v>
      </c>
      <c r="U58" s="32" t="e">
        <f t="shared" ca="1" si="138"/>
        <v>#VALUE!</v>
      </c>
      <c r="V58" s="32" t="e">
        <f t="shared" ca="1" si="36"/>
        <v>#VALUE!</v>
      </c>
      <c r="W58" s="32">
        <f t="shared" ca="1" si="139"/>
        <v>0</v>
      </c>
      <c r="Z58" s="25"/>
      <c r="AA58" s="90" t="e">
        <f t="shared" ca="1" si="57"/>
        <v>#VALUE!</v>
      </c>
      <c r="AB58" s="25"/>
      <c r="AC58" s="2" t="e">
        <f t="shared" ca="1" si="140"/>
        <v>#VALUE!</v>
      </c>
      <c r="AD58" s="2" t="e">
        <f t="shared" ref="AD58:AL58" ca="1" si="185">MAX(0,MIN($V58,AD$11*$C58)-AC$11*$C58)*AC$10</f>
        <v>#VALUE!</v>
      </c>
      <c r="AE58" s="2" t="e">
        <f t="shared" ca="1" si="185"/>
        <v>#VALUE!</v>
      </c>
      <c r="AF58" s="2" t="e">
        <f t="shared" ca="1" si="185"/>
        <v>#VALUE!</v>
      </c>
      <c r="AG58" s="2" t="e">
        <f t="shared" ca="1" si="185"/>
        <v>#VALUE!</v>
      </c>
      <c r="AH58" s="2" t="e">
        <f t="shared" ca="1" si="185"/>
        <v>#VALUE!</v>
      </c>
      <c r="AI58" s="2" t="e">
        <f t="shared" ca="1" si="185"/>
        <v>#VALUE!</v>
      </c>
      <c r="AJ58" s="2" t="e">
        <f t="shared" ca="1" si="185"/>
        <v>#VALUE!</v>
      </c>
      <c r="AK58" s="2" t="e">
        <f t="shared" ca="1" si="185"/>
        <v>#VALUE!</v>
      </c>
      <c r="AL58" s="2" t="e">
        <f t="shared" ca="1" si="185"/>
        <v>#VALUE!</v>
      </c>
      <c r="AM58" s="25"/>
      <c r="AN58" s="2" t="e">
        <f t="shared" ca="1" si="142"/>
        <v>#VALUE!</v>
      </c>
      <c r="AO58" s="2" t="e">
        <f t="shared" ca="1" si="143"/>
        <v>#VALUE!</v>
      </c>
      <c r="AP58" s="25"/>
      <c r="AQ58" s="2" t="e">
        <f t="shared" ca="1" si="144"/>
        <v>#VALUE!</v>
      </c>
      <c r="AR58" s="2" t="e">
        <f t="shared" ref="AR58:AZ58" ca="1" si="186">MAX(0,MIN($R58,AR$11*$C58)-AQ$11*$C58)*AQ$10</f>
        <v>#VALUE!</v>
      </c>
      <c r="AS58" s="2" t="e">
        <f t="shared" ca="1" si="186"/>
        <v>#VALUE!</v>
      </c>
      <c r="AT58" s="2" t="e">
        <f t="shared" ca="1" si="186"/>
        <v>#VALUE!</v>
      </c>
      <c r="AU58" s="2" t="e">
        <f t="shared" ca="1" si="186"/>
        <v>#VALUE!</v>
      </c>
      <c r="AV58" s="2" t="e">
        <f t="shared" ca="1" si="186"/>
        <v>#VALUE!</v>
      </c>
      <c r="AW58" s="2" t="e">
        <f t="shared" ca="1" si="186"/>
        <v>#VALUE!</v>
      </c>
      <c r="AX58" s="2" t="e">
        <f t="shared" ca="1" si="186"/>
        <v>#VALUE!</v>
      </c>
      <c r="AY58" s="2" t="e">
        <f t="shared" ca="1" si="186"/>
        <v>#VALUE!</v>
      </c>
      <c r="AZ58" s="2" t="e">
        <f t="shared" ca="1" si="186"/>
        <v>#VALUE!</v>
      </c>
      <c r="BA58" s="25"/>
      <c r="BB58" s="2">
        <f t="shared" ca="1" si="146"/>
        <v>0</v>
      </c>
      <c r="BC58" s="2">
        <f t="shared" ref="BC58:BK58" ca="1" si="187">MAX(0,MIN($W58,BC$11*$C58)-BB$11*$C58)*BB$10</f>
        <v>0</v>
      </c>
      <c r="BD58" s="2">
        <f t="shared" ca="1" si="187"/>
        <v>0</v>
      </c>
      <c r="BE58" s="2">
        <f t="shared" ca="1" si="187"/>
        <v>0</v>
      </c>
      <c r="BF58" s="2">
        <f t="shared" ca="1" si="187"/>
        <v>0</v>
      </c>
      <c r="BG58" s="2">
        <f t="shared" ca="1" si="187"/>
        <v>0</v>
      </c>
      <c r="BH58" s="2">
        <f t="shared" ca="1" si="187"/>
        <v>0</v>
      </c>
      <c r="BI58" s="2">
        <f t="shared" ca="1" si="187"/>
        <v>0</v>
      </c>
      <c r="BJ58" s="2">
        <f t="shared" ca="1" si="187"/>
        <v>0</v>
      </c>
      <c r="BK58" s="2">
        <f t="shared" ca="1" si="187"/>
        <v>0</v>
      </c>
      <c r="BL58" s="25"/>
      <c r="BM58" s="145" t="e">
        <f t="shared" ca="1" si="148"/>
        <v>#VALUE!</v>
      </c>
      <c r="BN58" s="145" t="e">
        <f t="shared" ca="1" si="149"/>
        <v>#VALUE!</v>
      </c>
      <c r="BO58" s="145" t="e">
        <f t="shared" ca="1" si="150"/>
        <v>#VALUE!</v>
      </c>
      <c r="BP58" s="145" t="e">
        <f t="shared" ca="1" si="151"/>
        <v>#VALUE!</v>
      </c>
      <c r="BQ58" s="145">
        <f t="shared" ca="1" si="152"/>
        <v>0</v>
      </c>
      <c r="BR58" s="145" t="e">
        <f t="shared" ca="1" si="40"/>
        <v>#VALUE!</v>
      </c>
      <c r="BS58" s="145" t="e">
        <f t="shared" ca="1" si="153"/>
        <v>#VALUE!</v>
      </c>
      <c r="BT58" s="145" t="e">
        <f t="shared" ca="1" si="154"/>
        <v>#VALUE!</v>
      </c>
      <c r="BU58" s="145" t="e">
        <f t="shared" ca="1" si="155"/>
        <v>#VALUE!</v>
      </c>
      <c r="BV58" s="145" t="e">
        <f t="shared" ca="1" si="156"/>
        <v>#VALUE!</v>
      </c>
      <c r="BW58" s="146" t="e">
        <f t="shared" ca="1" si="157"/>
        <v>#VALUE!</v>
      </c>
      <c r="BX58" s="146" t="e">
        <f t="shared" ca="1" si="158"/>
        <v>#VALUE!</v>
      </c>
      <c r="BY58" s="146" t="e">
        <f t="shared" ca="1" si="159"/>
        <v>#VALUE!</v>
      </c>
    </row>
    <row r="59" spans="1:77" x14ac:dyDescent="0.25">
      <c r="A59" s="14">
        <f t="shared" si="160"/>
        <v>43</v>
      </c>
      <c r="B59" s="14">
        <f t="shared" si="160"/>
        <v>83</v>
      </c>
      <c r="C59" s="38">
        <f t="shared" si="4"/>
        <v>2.3431893553453893</v>
      </c>
      <c r="D59" s="25"/>
      <c r="E59" s="74">
        <f>+SUMIFS(Income!D53:K53,Income!D$5:K$5,FALSE)</f>
        <v>58579.733883634734</v>
      </c>
      <c r="F59" s="74" t="str">
        <f ca="1">+Investments!P54</f>
        <v>EXPIRED</v>
      </c>
      <c r="G59" s="74" t="e">
        <f t="shared" ca="1" si="134"/>
        <v>#VALUE!</v>
      </c>
      <c r="H59" s="5">
        <f>+SUMIFS(Income!D53:K53,Income!D$5:K$5,TRUE)</f>
        <v>0</v>
      </c>
      <c r="I59" s="5" t="str">
        <f ca="1">+Investments!Q54</f>
        <v>EXPIRED</v>
      </c>
      <c r="J59" s="5">
        <f ca="1">+RealEstate!G48</f>
        <v>0</v>
      </c>
      <c r="K59" s="5">
        <f t="shared" ca="1" si="135"/>
        <v>0</v>
      </c>
      <c r="L59" s="5">
        <f t="shared" ca="1" si="136"/>
        <v>0</v>
      </c>
      <c r="M59" s="25"/>
      <c r="N59" s="77" t="str">
        <f ca="1">+Investments!N54</f>
        <v>EXPIRED</v>
      </c>
      <c r="O59" s="77">
        <f ca="1">+IF(AND(B59&lt;60,N59&lt;0),N59*0.1,0)</f>
        <v>0</v>
      </c>
      <c r="P59" s="25"/>
      <c r="Q59" s="32" t="e">
        <f t="shared" ca="1" si="41"/>
        <v>#VALUE!</v>
      </c>
      <c r="R59" s="32" t="e">
        <f t="shared" ca="1" si="137"/>
        <v>#VALUE!</v>
      </c>
      <c r="S59" s="32" t="e">
        <f ca="1">+AQ59+RealEstate!H48</f>
        <v>#VALUE!</v>
      </c>
      <c r="T59" s="32">
        <f ca="1">+RealEstate!I48</f>
        <v>0</v>
      </c>
      <c r="U59" s="32" t="e">
        <f t="shared" ca="1" si="138"/>
        <v>#VALUE!</v>
      </c>
      <c r="V59" s="32" t="e">
        <f t="shared" ca="1" si="36"/>
        <v>#VALUE!</v>
      </c>
      <c r="W59" s="32">
        <f t="shared" ca="1" si="139"/>
        <v>0</v>
      </c>
      <c r="Z59" s="25"/>
      <c r="AA59" s="90" t="e">
        <f t="shared" ca="1" si="57"/>
        <v>#VALUE!</v>
      </c>
      <c r="AB59" s="25"/>
      <c r="AC59" s="2" t="e">
        <f t="shared" ca="1" si="140"/>
        <v>#VALUE!</v>
      </c>
      <c r="AD59" s="2" t="e">
        <f t="shared" ref="AD59:AL59" ca="1" si="188">MAX(0,MIN($V59,AD$11*$C59)-AC$11*$C59)*AC$10</f>
        <v>#VALUE!</v>
      </c>
      <c r="AE59" s="2" t="e">
        <f t="shared" ca="1" si="188"/>
        <v>#VALUE!</v>
      </c>
      <c r="AF59" s="2" t="e">
        <f t="shared" ca="1" si="188"/>
        <v>#VALUE!</v>
      </c>
      <c r="AG59" s="2" t="e">
        <f t="shared" ca="1" si="188"/>
        <v>#VALUE!</v>
      </c>
      <c r="AH59" s="2" t="e">
        <f t="shared" ca="1" si="188"/>
        <v>#VALUE!</v>
      </c>
      <c r="AI59" s="2" t="e">
        <f t="shared" ca="1" si="188"/>
        <v>#VALUE!</v>
      </c>
      <c r="AJ59" s="2" t="e">
        <f t="shared" ca="1" si="188"/>
        <v>#VALUE!</v>
      </c>
      <c r="AK59" s="2" t="e">
        <f t="shared" ca="1" si="188"/>
        <v>#VALUE!</v>
      </c>
      <c r="AL59" s="2" t="e">
        <f t="shared" ca="1" si="188"/>
        <v>#VALUE!</v>
      </c>
      <c r="AM59" s="25"/>
      <c r="AN59" s="2" t="e">
        <f t="shared" ca="1" si="142"/>
        <v>#VALUE!</v>
      </c>
      <c r="AO59" s="2" t="e">
        <f t="shared" ca="1" si="143"/>
        <v>#VALUE!</v>
      </c>
      <c r="AP59" s="25"/>
      <c r="AQ59" s="2" t="e">
        <f t="shared" ca="1" si="144"/>
        <v>#VALUE!</v>
      </c>
      <c r="AR59" s="2" t="e">
        <f t="shared" ref="AR59:AZ59" ca="1" si="189">MAX(0,MIN($R59,AR$11*$C59)-AQ$11*$C59)*AQ$10</f>
        <v>#VALUE!</v>
      </c>
      <c r="AS59" s="2" t="e">
        <f t="shared" ca="1" si="189"/>
        <v>#VALUE!</v>
      </c>
      <c r="AT59" s="2" t="e">
        <f t="shared" ca="1" si="189"/>
        <v>#VALUE!</v>
      </c>
      <c r="AU59" s="2" t="e">
        <f t="shared" ca="1" si="189"/>
        <v>#VALUE!</v>
      </c>
      <c r="AV59" s="2" t="e">
        <f t="shared" ca="1" si="189"/>
        <v>#VALUE!</v>
      </c>
      <c r="AW59" s="2" t="e">
        <f t="shared" ca="1" si="189"/>
        <v>#VALUE!</v>
      </c>
      <c r="AX59" s="2" t="e">
        <f t="shared" ca="1" si="189"/>
        <v>#VALUE!</v>
      </c>
      <c r="AY59" s="2" t="e">
        <f t="shared" ca="1" si="189"/>
        <v>#VALUE!</v>
      </c>
      <c r="AZ59" s="2" t="e">
        <f t="shared" ca="1" si="189"/>
        <v>#VALUE!</v>
      </c>
      <c r="BA59" s="25"/>
      <c r="BB59" s="2">
        <f t="shared" ca="1" si="146"/>
        <v>0</v>
      </c>
      <c r="BC59" s="2">
        <f t="shared" ref="BC59:BK59" ca="1" si="190">MAX(0,MIN($W59,BC$11*$C59)-BB$11*$C59)*BB$10</f>
        <v>0</v>
      </c>
      <c r="BD59" s="2">
        <f t="shared" ca="1" si="190"/>
        <v>0</v>
      </c>
      <c r="BE59" s="2">
        <f t="shared" ca="1" si="190"/>
        <v>0</v>
      </c>
      <c r="BF59" s="2">
        <f t="shared" ca="1" si="190"/>
        <v>0</v>
      </c>
      <c r="BG59" s="2">
        <f t="shared" ca="1" si="190"/>
        <v>0</v>
      </c>
      <c r="BH59" s="2">
        <f t="shared" ca="1" si="190"/>
        <v>0</v>
      </c>
      <c r="BI59" s="2">
        <f t="shared" ca="1" si="190"/>
        <v>0</v>
      </c>
      <c r="BJ59" s="2">
        <f t="shared" ca="1" si="190"/>
        <v>0</v>
      </c>
      <c r="BK59" s="2">
        <f t="shared" ca="1" si="190"/>
        <v>0</v>
      </c>
      <c r="BL59" s="25"/>
      <c r="BM59" s="145" t="e">
        <f t="shared" ca="1" si="148"/>
        <v>#VALUE!</v>
      </c>
      <c r="BN59" s="145" t="e">
        <f t="shared" ca="1" si="149"/>
        <v>#VALUE!</v>
      </c>
      <c r="BO59" s="145" t="e">
        <f t="shared" ca="1" si="150"/>
        <v>#VALUE!</v>
      </c>
      <c r="BP59" s="145" t="e">
        <f t="shared" ca="1" si="151"/>
        <v>#VALUE!</v>
      </c>
      <c r="BQ59" s="145">
        <f t="shared" ca="1" si="152"/>
        <v>0</v>
      </c>
      <c r="BR59" s="145" t="e">
        <f t="shared" ca="1" si="40"/>
        <v>#VALUE!</v>
      </c>
      <c r="BS59" s="145" t="e">
        <f t="shared" ca="1" si="153"/>
        <v>#VALUE!</v>
      </c>
      <c r="BT59" s="145" t="e">
        <f t="shared" ca="1" si="154"/>
        <v>#VALUE!</v>
      </c>
      <c r="BU59" s="145" t="e">
        <f t="shared" ca="1" si="155"/>
        <v>#VALUE!</v>
      </c>
      <c r="BV59" s="145" t="e">
        <f t="shared" ca="1" si="156"/>
        <v>#VALUE!</v>
      </c>
      <c r="BW59" s="146" t="e">
        <f t="shared" ca="1" si="157"/>
        <v>#VALUE!</v>
      </c>
      <c r="BX59" s="146" t="e">
        <f t="shared" ca="1" si="158"/>
        <v>#VALUE!</v>
      </c>
      <c r="BY59" s="146" t="e">
        <f t="shared" ca="1" si="159"/>
        <v>#VALUE!</v>
      </c>
    </row>
    <row r="60" spans="1:77" x14ac:dyDescent="0.25">
      <c r="A60" s="14">
        <f t="shared" si="160"/>
        <v>44</v>
      </c>
      <c r="B60" s="14">
        <f t="shared" si="160"/>
        <v>84</v>
      </c>
      <c r="C60" s="38">
        <f t="shared" si="4"/>
        <v>2.3900531424522975</v>
      </c>
      <c r="D60" s="25"/>
      <c r="E60" s="74">
        <f>+SUMIFS(Income!D54:K54,Income!D$5:K$5,FALSE)</f>
        <v>59751.32856130744</v>
      </c>
      <c r="F60" s="74" t="str">
        <f ca="1">+Investments!P55</f>
        <v>EXPIRED</v>
      </c>
      <c r="G60" s="74" t="e">
        <f t="shared" ca="1" si="134"/>
        <v>#VALUE!</v>
      </c>
      <c r="H60" s="5">
        <f>+SUMIFS(Income!D54:K54,Income!D$5:K$5,TRUE)</f>
        <v>0</v>
      </c>
      <c r="I60" s="5" t="str">
        <f ca="1">+Investments!Q55</f>
        <v>EXPIRED</v>
      </c>
      <c r="J60" s="5">
        <f ca="1">+RealEstate!G49</f>
        <v>0</v>
      </c>
      <c r="K60" s="5">
        <f t="shared" ca="1" si="135"/>
        <v>0</v>
      </c>
      <c r="L60" s="5">
        <f t="shared" ca="1" si="136"/>
        <v>0</v>
      </c>
      <c r="M60" s="25"/>
      <c r="N60" s="77" t="str">
        <f ca="1">+Investments!N55</f>
        <v>EXPIRED</v>
      </c>
      <c r="O60" s="77">
        <f t="shared" ref="O60:O116" ca="1" si="191">+IF(AND(B60&lt;60,N60&lt;0),N60*0.1,0)</f>
        <v>0</v>
      </c>
      <c r="P60" s="25"/>
      <c r="Q60" s="32" t="e">
        <f t="shared" ca="1" si="41"/>
        <v>#VALUE!</v>
      </c>
      <c r="R60" s="32" t="e">
        <f t="shared" ca="1" si="137"/>
        <v>#VALUE!</v>
      </c>
      <c r="S60" s="32" t="e">
        <f ca="1">+AQ60+RealEstate!H49</f>
        <v>#VALUE!</v>
      </c>
      <c r="T60" s="32">
        <f ca="1">+RealEstate!I49</f>
        <v>0</v>
      </c>
      <c r="U60" s="32" t="e">
        <f t="shared" ca="1" si="138"/>
        <v>#VALUE!</v>
      </c>
      <c r="V60" s="32" t="e">
        <f t="shared" ca="1" si="36"/>
        <v>#VALUE!</v>
      </c>
      <c r="W60" s="32">
        <f t="shared" ca="1" si="139"/>
        <v>0</v>
      </c>
      <c r="Z60" s="25"/>
      <c r="AA60" s="90" t="e">
        <f t="shared" ca="1" si="57"/>
        <v>#VALUE!</v>
      </c>
      <c r="AB60" s="25"/>
      <c r="AC60" s="2" t="e">
        <f t="shared" ca="1" si="140"/>
        <v>#VALUE!</v>
      </c>
      <c r="AD60" s="2" t="e">
        <f t="shared" ref="AD60:AL60" ca="1" si="192">MAX(0,MIN($V60,AD$11*$C60)-AC$11*$C60)*AC$10</f>
        <v>#VALUE!</v>
      </c>
      <c r="AE60" s="2" t="e">
        <f t="shared" ca="1" si="192"/>
        <v>#VALUE!</v>
      </c>
      <c r="AF60" s="2" t="e">
        <f t="shared" ca="1" si="192"/>
        <v>#VALUE!</v>
      </c>
      <c r="AG60" s="2" t="e">
        <f t="shared" ca="1" si="192"/>
        <v>#VALUE!</v>
      </c>
      <c r="AH60" s="2" t="e">
        <f t="shared" ca="1" si="192"/>
        <v>#VALUE!</v>
      </c>
      <c r="AI60" s="2" t="e">
        <f t="shared" ca="1" si="192"/>
        <v>#VALUE!</v>
      </c>
      <c r="AJ60" s="2" t="e">
        <f t="shared" ca="1" si="192"/>
        <v>#VALUE!</v>
      </c>
      <c r="AK60" s="2" t="e">
        <f t="shared" ca="1" si="192"/>
        <v>#VALUE!</v>
      </c>
      <c r="AL60" s="2" t="e">
        <f t="shared" ca="1" si="192"/>
        <v>#VALUE!</v>
      </c>
      <c r="AM60" s="25"/>
      <c r="AN60" s="2" t="e">
        <f t="shared" ca="1" si="142"/>
        <v>#VALUE!</v>
      </c>
      <c r="AO60" s="2" t="e">
        <f t="shared" ca="1" si="143"/>
        <v>#VALUE!</v>
      </c>
      <c r="AP60" s="25"/>
      <c r="AQ60" s="2" t="e">
        <f t="shared" ca="1" si="144"/>
        <v>#VALUE!</v>
      </c>
      <c r="AR60" s="2" t="e">
        <f t="shared" ref="AR60:AZ60" ca="1" si="193">MAX(0,MIN($R60,AR$11*$C60)-AQ$11*$C60)*AQ$10</f>
        <v>#VALUE!</v>
      </c>
      <c r="AS60" s="2" t="e">
        <f t="shared" ca="1" si="193"/>
        <v>#VALUE!</v>
      </c>
      <c r="AT60" s="2" t="e">
        <f t="shared" ca="1" si="193"/>
        <v>#VALUE!</v>
      </c>
      <c r="AU60" s="2" t="e">
        <f t="shared" ca="1" si="193"/>
        <v>#VALUE!</v>
      </c>
      <c r="AV60" s="2" t="e">
        <f t="shared" ca="1" si="193"/>
        <v>#VALUE!</v>
      </c>
      <c r="AW60" s="2" t="e">
        <f t="shared" ca="1" si="193"/>
        <v>#VALUE!</v>
      </c>
      <c r="AX60" s="2" t="e">
        <f t="shared" ca="1" si="193"/>
        <v>#VALUE!</v>
      </c>
      <c r="AY60" s="2" t="e">
        <f t="shared" ca="1" si="193"/>
        <v>#VALUE!</v>
      </c>
      <c r="AZ60" s="2" t="e">
        <f t="shared" ca="1" si="193"/>
        <v>#VALUE!</v>
      </c>
      <c r="BA60" s="25"/>
      <c r="BB60" s="2">
        <f t="shared" ca="1" si="146"/>
        <v>0</v>
      </c>
      <c r="BC60" s="2">
        <f t="shared" ref="BC60:BK60" ca="1" si="194">MAX(0,MIN($W60,BC$11*$C60)-BB$11*$C60)*BB$10</f>
        <v>0</v>
      </c>
      <c r="BD60" s="2">
        <f t="shared" ca="1" si="194"/>
        <v>0</v>
      </c>
      <c r="BE60" s="2">
        <f t="shared" ca="1" si="194"/>
        <v>0</v>
      </c>
      <c r="BF60" s="2">
        <f t="shared" ca="1" si="194"/>
        <v>0</v>
      </c>
      <c r="BG60" s="2">
        <f t="shared" ca="1" si="194"/>
        <v>0</v>
      </c>
      <c r="BH60" s="2">
        <f t="shared" ca="1" si="194"/>
        <v>0</v>
      </c>
      <c r="BI60" s="2">
        <f t="shared" ca="1" si="194"/>
        <v>0</v>
      </c>
      <c r="BJ60" s="2">
        <f t="shared" ca="1" si="194"/>
        <v>0</v>
      </c>
      <c r="BK60" s="2">
        <f t="shared" ca="1" si="194"/>
        <v>0</v>
      </c>
      <c r="BL60" s="25"/>
      <c r="BM60" s="145" t="e">
        <f t="shared" ca="1" si="148"/>
        <v>#VALUE!</v>
      </c>
      <c r="BN60" s="145" t="e">
        <f t="shared" ca="1" si="149"/>
        <v>#VALUE!</v>
      </c>
      <c r="BO60" s="145" t="e">
        <f t="shared" ca="1" si="150"/>
        <v>#VALUE!</v>
      </c>
      <c r="BP60" s="145" t="e">
        <f t="shared" ca="1" si="151"/>
        <v>#VALUE!</v>
      </c>
      <c r="BQ60" s="145">
        <f t="shared" ca="1" si="152"/>
        <v>0</v>
      </c>
      <c r="BR60" s="145" t="e">
        <f t="shared" ca="1" si="40"/>
        <v>#VALUE!</v>
      </c>
      <c r="BS60" s="145" t="e">
        <f t="shared" ca="1" si="153"/>
        <v>#VALUE!</v>
      </c>
      <c r="BT60" s="145" t="e">
        <f t="shared" ca="1" si="154"/>
        <v>#VALUE!</v>
      </c>
      <c r="BU60" s="145" t="e">
        <f t="shared" ca="1" si="155"/>
        <v>#VALUE!</v>
      </c>
      <c r="BV60" s="145" t="e">
        <f t="shared" ca="1" si="156"/>
        <v>#VALUE!</v>
      </c>
      <c r="BW60" s="146" t="e">
        <f t="shared" ca="1" si="157"/>
        <v>#VALUE!</v>
      </c>
      <c r="BX60" s="146" t="e">
        <f t="shared" ca="1" si="158"/>
        <v>#VALUE!</v>
      </c>
      <c r="BY60" s="146" t="e">
        <f t="shared" ca="1" si="159"/>
        <v>#VALUE!</v>
      </c>
    </row>
    <row r="61" spans="1:77" x14ac:dyDescent="0.25">
      <c r="A61" s="14">
        <f t="shared" si="160"/>
        <v>45</v>
      </c>
      <c r="B61" s="14">
        <f t="shared" si="160"/>
        <v>85</v>
      </c>
      <c r="C61" s="38">
        <f t="shared" si="4"/>
        <v>2.4378542053013432</v>
      </c>
      <c r="D61" s="25"/>
      <c r="E61" s="74">
        <f>+SUMIFS(Income!D55:K55,Income!D$5:K$5,FALSE)</f>
        <v>60946.355132533579</v>
      </c>
      <c r="F61" s="74" t="str">
        <f ca="1">+Investments!P56</f>
        <v>EXPIRED</v>
      </c>
      <c r="G61" s="74" t="e">
        <f t="shared" ca="1" si="134"/>
        <v>#VALUE!</v>
      </c>
      <c r="H61" s="5">
        <f>+SUMIFS(Income!D55:K55,Income!D$5:K$5,TRUE)</f>
        <v>0</v>
      </c>
      <c r="I61" s="5" t="str">
        <f ca="1">+Investments!Q56</f>
        <v>EXPIRED</v>
      </c>
      <c r="J61" s="5">
        <f ca="1">+RealEstate!G50</f>
        <v>0</v>
      </c>
      <c r="K61" s="5">
        <f t="shared" ca="1" si="135"/>
        <v>0</v>
      </c>
      <c r="L61" s="5">
        <f t="shared" ca="1" si="136"/>
        <v>0</v>
      </c>
      <c r="M61" s="25"/>
      <c r="N61" s="77" t="str">
        <f ca="1">+Investments!N56</f>
        <v>EXPIRED</v>
      </c>
      <c r="O61" s="77">
        <f t="shared" ca="1" si="191"/>
        <v>0</v>
      </c>
      <c r="P61" s="25"/>
      <c r="Q61" s="32" t="e">
        <f t="shared" ca="1" si="41"/>
        <v>#VALUE!</v>
      </c>
      <c r="R61" s="32" t="e">
        <f t="shared" ca="1" si="137"/>
        <v>#VALUE!</v>
      </c>
      <c r="S61" s="32" t="e">
        <f ca="1">+AQ61+RealEstate!H50</f>
        <v>#VALUE!</v>
      </c>
      <c r="T61" s="32">
        <f ca="1">+RealEstate!I50</f>
        <v>0</v>
      </c>
      <c r="U61" s="32" t="e">
        <f t="shared" ca="1" si="138"/>
        <v>#VALUE!</v>
      </c>
      <c r="V61" s="32" t="e">
        <f t="shared" ca="1" si="36"/>
        <v>#VALUE!</v>
      </c>
      <c r="W61" s="32">
        <f t="shared" ca="1" si="139"/>
        <v>0</v>
      </c>
      <c r="Z61" s="25"/>
      <c r="AA61" s="90" t="e">
        <f t="shared" ca="1" si="57"/>
        <v>#VALUE!</v>
      </c>
      <c r="AB61" s="25"/>
      <c r="AC61" s="2" t="e">
        <f t="shared" ca="1" si="140"/>
        <v>#VALUE!</v>
      </c>
      <c r="AD61" s="2" t="e">
        <f t="shared" ref="AD61:AL61" ca="1" si="195">MAX(0,MIN($V61,AD$11*$C61)-AC$11*$C61)*AC$10</f>
        <v>#VALUE!</v>
      </c>
      <c r="AE61" s="2" t="e">
        <f t="shared" ca="1" si="195"/>
        <v>#VALUE!</v>
      </c>
      <c r="AF61" s="2" t="e">
        <f t="shared" ca="1" si="195"/>
        <v>#VALUE!</v>
      </c>
      <c r="AG61" s="2" t="e">
        <f t="shared" ca="1" si="195"/>
        <v>#VALUE!</v>
      </c>
      <c r="AH61" s="2" t="e">
        <f t="shared" ca="1" si="195"/>
        <v>#VALUE!</v>
      </c>
      <c r="AI61" s="2" t="e">
        <f t="shared" ca="1" si="195"/>
        <v>#VALUE!</v>
      </c>
      <c r="AJ61" s="2" t="e">
        <f t="shared" ca="1" si="195"/>
        <v>#VALUE!</v>
      </c>
      <c r="AK61" s="2" t="e">
        <f t="shared" ca="1" si="195"/>
        <v>#VALUE!</v>
      </c>
      <c r="AL61" s="2" t="e">
        <f t="shared" ca="1" si="195"/>
        <v>#VALUE!</v>
      </c>
      <c r="AM61" s="25"/>
      <c r="AN61" s="2" t="e">
        <f t="shared" ca="1" si="142"/>
        <v>#VALUE!</v>
      </c>
      <c r="AO61" s="2" t="e">
        <f t="shared" ca="1" si="143"/>
        <v>#VALUE!</v>
      </c>
      <c r="AP61" s="25"/>
      <c r="AQ61" s="2" t="e">
        <f t="shared" ca="1" si="144"/>
        <v>#VALUE!</v>
      </c>
      <c r="AR61" s="2" t="e">
        <f t="shared" ref="AR61:AZ61" ca="1" si="196">MAX(0,MIN($R61,AR$11*$C61)-AQ$11*$C61)*AQ$10</f>
        <v>#VALUE!</v>
      </c>
      <c r="AS61" s="2" t="e">
        <f t="shared" ca="1" si="196"/>
        <v>#VALUE!</v>
      </c>
      <c r="AT61" s="2" t="e">
        <f t="shared" ca="1" si="196"/>
        <v>#VALUE!</v>
      </c>
      <c r="AU61" s="2" t="e">
        <f t="shared" ca="1" si="196"/>
        <v>#VALUE!</v>
      </c>
      <c r="AV61" s="2" t="e">
        <f t="shared" ca="1" si="196"/>
        <v>#VALUE!</v>
      </c>
      <c r="AW61" s="2" t="e">
        <f t="shared" ca="1" si="196"/>
        <v>#VALUE!</v>
      </c>
      <c r="AX61" s="2" t="e">
        <f t="shared" ca="1" si="196"/>
        <v>#VALUE!</v>
      </c>
      <c r="AY61" s="2" t="e">
        <f t="shared" ca="1" si="196"/>
        <v>#VALUE!</v>
      </c>
      <c r="AZ61" s="2" t="e">
        <f t="shared" ca="1" si="196"/>
        <v>#VALUE!</v>
      </c>
      <c r="BA61" s="25"/>
      <c r="BB61" s="2">
        <f t="shared" ca="1" si="146"/>
        <v>0</v>
      </c>
      <c r="BC61" s="2">
        <f t="shared" ref="BC61:BK61" ca="1" si="197">MAX(0,MIN($W61,BC$11*$C61)-BB$11*$C61)*BB$10</f>
        <v>0</v>
      </c>
      <c r="BD61" s="2">
        <f t="shared" ca="1" si="197"/>
        <v>0</v>
      </c>
      <c r="BE61" s="2">
        <f t="shared" ca="1" si="197"/>
        <v>0</v>
      </c>
      <c r="BF61" s="2">
        <f t="shared" ca="1" si="197"/>
        <v>0</v>
      </c>
      <c r="BG61" s="2">
        <f t="shared" ca="1" si="197"/>
        <v>0</v>
      </c>
      <c r="BH61" s="2">
        <f t="shared" ca="1" si="197"/>
        <v>0</v>
      </c>
      <c r="BI61" s="2">
        <f t="shared" ca="1" si="197"/>
        <v>0</v>
      </c>
      <c r="BJ61" s="2">
        <f t="shared" ca="1" si="197"/>
        <v>0</v>
      </c>
      <c r="BK61" s="2">
        <f t="shared" ca="1" si="197"/>
        <v>0</v>
      </c>
      <c r="BL61" s="25"/>
      <c r="BM61" s="145" t="e">
        <f t="shared" ca="1" si="148"/>
        <v>#VALUE!</v>
      </c>
      <c r="BN61" s="145" t="e">
        <f t="shared" ca="1" si="149"/>
        <v>#VALUE!</v>
      </c>
      <c r="BO61" s="145" t="e">
        <f t="shared" ca="1" si="150"/>
        <v>#VALUE!</v>
      </c>
      <c r="BP61" s="145" t="e">
        <f t="shared" ca="1" si="151"/>
        <v>#VALUE!</v>
      </c>
      <c r="BQ61" s="145">
        <f t="shared" ca="1" si="152"/>
        <v>0</v>
      </c>
      <c r="BR61" s="145" t="e">
        <f t="shared" ca="1" si="40"/>
        <v>#VALUE!</v>
      </c>
      <c r="BS61" s="145" t="e">
        <f t="shared" ca="1" si="153"/>
        <v>#VALUE!</v>
      </c>
      <c r="BT61" s="145" t="e">
        <f t="shared" ca="1" si="154"/>
        <v>#VALUE!</v>
      </c>
      <c r="BU61" s="145" t="e">
        <f t="shared" ca="1" si="155"/>
        <v>#VALUE!</v>
      </c>
      <c r="BV61" s="145" t="e">
        <f t="shared" ca="1" si="156"/>
        <v>#VALUE!</v>
      </c>
      <c r="BW61" s="146" t="e">
        <f t="shared" ca="1" si="157"/>
        <v>#VALUE!</v>
      </c>
      <c r="BX61" s="146" t="e">
        <f t="shared" ca="1" si="158"/>
        <v>#VALUE!</v>
      </c>
      <c r="BY61" s="146" t="e">
        <f t="shared" ca="1" si="159"/>
        <v>#VALUE!</v>
      </c>
    </row>
    <row r="62" spans="1:77" x14ac:dyDescent="0.25">
      <c r="A62" s="14">
        <f t="shared" si="160"/>
        <v>46</v>
      </c>
      <c r="B62" s="14">
        <f t="shared" si="160"/>
        <v>86</v>
      </c>
      <c r="C62" s="38">
        <f t="shared" si="4"/>
        <v>2.4866112894073704</v>
      </c>
      <c r="D62" s="25"/>
      <c r="E62" s="74">
        <f>+SUMIFS(Income!D56:K56,Income!D$5:K$5,FALSE)</f>
        <v>62165.282235184262</v>
      </c>
      <c r="F62" s="74" t="str">
        <f ca="1">+Investments!P57</f>
        <v>EXPIRED</v>
      </c>
      <c r="G62" s="74" t="e">
        <f t="shared" ca="1" si="134"/>
        <v>#VALUE!</v>
      </c>
      <c r="H62" s="5">
        <f>+SUMIFS(Income!D56:K56,Income!D$5:K$5,TRUE)</f>
        <v>0</v>
      </c>
      <c r="I62" s="5" t="str">
        <f ca="1">+Investments!Q57</f>
        <v>EXPIRED</v>
      </c>
      <c r="J62" s="5">
        <f ca="1">+RealEstate!G51</f>
        <v>0</v>
      </c>
      <c r="K62" s="5">
        <f t="shared" ca="1" si="135"/>
        <v>0</v>
      </c>
      <c r="L62" s="5">
        <f t="shared" ca="1" si="136"/>
        <v>0</v>
      </c>
      <c r="M62" s="25"/>
      <c r="N62" s="77" t="str">
        <f ca="1">+Investments!N57</f>
        <v>EXPIRED</v>
      </c>
      <c r="O62" s="77">
        <f t="shared" ca="1" si="191"/>
        <v>0</v>
      </c>
      <c r="P62" s="25"/>
      <c r="Q62" s="32" t="e">
        <f t="shared" ca="1" si="41"/>
        <v>#VALUE!</v>
      </c>
      <c r="R62" s="32" t="e">
        <f t="shared" ca="1" si="137"/>
        <v>#VALUE!</v>
      </c>
      <c r="S62" s="32" t="e">
        <f ca="1">+AQ62+RealEstate!H51</f>
        <v>#VALUE!</v>
      </c>
      <c r="T62" s="32">
        <f ca="1">+RealEstate!I51</f>
        <v>0</v>
      </c>
      <c r="U62" s="32" t="e">
        <f t="shared" ca="1" si="138"/>
        <v>#VALUE!</v>
      </c>
      <c r="V62" s="32" t="e">
        <f t="shared" ca="1" si="36"/>
        <v>#VALUE!</v>
      </c>
      <c r="W62" s="32">
        <f t="shared" ca="1" si="139"/>
        <v>0</v>
      </c>
      <c r="Z62" s="25"/>
      <c r="AA62" s="90" t="e">
        <f t="shared" ca="1" si="57"/>
        <v>#VALUE!</v>
      </c>
      <c r="AB62" s="25"/>
      <c r="AC62" s="2" t="e">
        <f t="shared" ca="1" si="140"/>
        <v>#VALUE!</v>
      </c>
      <c r="AD62" s="2" t="e">
        <f t="shared" ref="AD62:AL62" ca="1" si="198">MAX(0,MIN($V62,AD$11*$C62)-AC$11*$C62)*AC$10</f>
        <v>#VALUE!</v>
      </c>
      <c r="AE62" s="2" t="e">
        <f t="shared" ca="1" si="198"/>
        <v>#VALUE!</v>
      </c>
      <c r="AF62" s="2" t="e">
        <f t="shared" ca="1" si="198"/>
        <v>#VALUE!</v>
      </c>
      <c r="AG62" s="2" t="e">
        <f t="shared" ca="1" si="198"/>
        <v>#VALUE!</v>
      </c>
      <c r="AH62" s="2" t="e">
        <f t="shared" ca="1" si="198"/>
        <v>#VALUE!</v>
      </c>
      <c r="AI62" s="2" t="e">
        <f t="shared" ca="1" si="198"/>
        <v>#VALUE!</v>
      </c>
      <c r="AJ62" s="2" t="e">
        <f t="shared" ca="1" si="198"/>
        <v>#VALUE!</v>
      </c>
      <c r="AK62" s="2" t="e">
        <f t="shared" ca="1" si="198"/>
        <v>#VALUE!</v>
      </c>
      <c r="AL62" s="2" t="e">
        <f t="shared" ca="1" si="198"/>
        <v>#VALUE!</v>
      </c>
      <c r="AM62" s="25"/>
      <c r="AN62" s="2" t="e">
        <f t="shared" ca="1" si="142"/>
        <v>#VALUE!</v>
      </c>
      <c r="AO62" s="2" t="e">
        <f t="shared" ca="1" si="143"/>
        <v>#VALUE!</v>
      </c>
      <c r="AP62" s="25"/>
      <c r="AQ62" s="2" t="e">
        <f t="shared" ca="1" si="144"/>
        <v>#VALUE!</v>
      </c>
      <c r="AR62" s="2" t="e">
        <f t="shared" ref="AR62:AZ62" ca="1" si="199">MAX(0,MIN($R62,AR$11*$C62)-AQ$11*$C62)*AQ$10</f>
        <v>#VALUE!</v>
      </c>
      <c r="AS62" s="2" t="e">
        <f t="shared" ca="1" si="199"/>
        <v>#VALUE!</v>
      </c>
      <c r="AT62" s="2" t="e">
        <f t="shared" ca="1" si="199"/>
        <v>#VALUE!</v>
      </c>
      <c r="AU62" s="2" t="e">
        <f t="shared" ca="1" si="199"/>
        <v>#VALUE!</v>
      </c>
      <c r="AV62" s="2" t="e">
        <f t="shared" ca="1" si="199"/>
        <v>#VALUE!</v>
      </c>
      <c r="AW62" s="2" t="e">
        <f t="shared" ca="1" si="199"/>
        <v>#VALUE!</v>
      </c>
      <c r="AX62" s="2" t="e">
        <f t="shared" ca="1" si="199"/>
        <v>#VALUE!</v>
      </c>
      <c r="AY62" s="2" t="e">
        <f t="shared" ca="1" si="199"/>
        <v>#VALUE!</v>
      </c>
      <c r="AZ62" s="2" t="e">
        <f t="shared" ca="1" si="199"/>
        <v>#VALUE!</v>
      </c>
      <c r="BA62" s="25"/>
      <c r="BB62" s="2">
        <f t="shared" ca="1" si="146"/>
        <v>0</v>
      </c>
      <c r="BC62" s="2">
        <f t="shared" ref="BC62:BK62" ca="1" si="200">MAX(0,MIN($W62,BC$11*$C62)-BB$11*$C62)*BB$10</f>
        <v>0</v>
      </c>
      <c r="BD62" s="2">
        <f t="shared" ca="1" si="200"/>
        <v>0</v>
      </c>
      <c r="BE62" s="2">
        <f t="shared" ca="1" si="200"/>
        <v>0</v>
      </c>
      <c r="BF62" s="2">
        <f t="shared" ca="1" si="200"/>
        <v>0</v>
      </c>
      <c r="BG62" s="2">
        <f t="shared" ca="1" si="200"/>
        <v>0</v>
      </c>
      <c r="BH62" s="2">
        <f t="shared" ca="1" si="200"/>
        <v>0</v>
      </c>
      <c r="BI62" s="2">
        <f t="shared" ca="1" si="200"/>
        <v>0</v>
      </c>
      <c r="BJ62" s="2">
        <f t="shared" ca="1" si="200"/>
        <v>0</v>
      </c>
      <c r="BK62" s="2">
        <f t="shared" ca="1" si="200"/>
        <v>0</v>
      </c>
      <c r="BL62" s="25"/>
      <c r="BM62" s="145" t="e">
        <f t="shared" ca="1" si="148"/>
        <v>#VALUE!</v>
      </c>
      <c r="BN62" s="145" t="e">
        <f t="shared" ca="1" si="149"/>
        <v>#VALUE!</v>
      </c>
      <c r="BO62" s="145" t="e">
        <f t="shared" ca="1" si="150"/>
        <v>#VALUE!</v>
      </c>
      <c r="BP62" s="145" t="e">
        <f t="shared" ca="1" si="151"/>
        <v>#VALUE!</v>
      </c>
      <c r="BQ62" s="145">
        <f t="shared" ca="1" si="152"/>
        <v>0</v>
      </c>
      <c r="BR62" s="145" t="e">
        <f t="shared" ca="1" si="40"/>
        <v>#VALUE!</v>
      </c>
      <c r="BS62" s="145" t="e">
        <f t="shared" ca="1" si="153"/>
        <v>#VALUE!</v>
      </c>
      <c r="BT62" s="145" t="e">
        <f t="shared" ca="1" si="154"/>
        <v>#VALUE!</v>
      </c>
      <c r="BU62" s="145" t="e">
        <f t="shared" ca="1" si="155"/>
        <v>#VALUE!</v>
      </c>
      <c r="BV62" s="145" t="e">
        <f t="shared" ca="1" si="156"/>
        <v>#VALUE!</v>
      </c>
      <c r="BW62" s="146" t="e">
        <f t="shared" ca="1" si="157"/>
        <v>#VALUE!</v>
      </c>
      <c r="BX62" s="146" t="e">
        <f t="shared" ca="1" si="158"/>
        <v>#VALUE!</v>
      </c>
      <c r="BY62" s="146" t="e">
        <f t="shared" ca="1" si="159"/>
        <v>#VALUE!</v>
      </c>
    </row>
    <row r="63" spans="1:77" x14ac:dyDescent="0.25">
      <c r="A63" s="14">
        <f t="shared" si="160"/>
        <v>47</v>
      </c>
      <c r="B63" s="14">
        <f t="shared" si="160"/>
        <v>87</v>
      </c>
      <c r="C63" s="38">
        <f t="shared" si="4"/>
        <v>2.5363435151955169</v>
      </c>
      <c r="D63" s="25"/>
      <c r="E63" s="74">
        <f>+SUMIFS(Income!D57:K57,Income!D$5:K$5,FALSE)</f>
        <v>63408.58787988792</v>
      </c>
      <c r="F63" s="74" t="str">
        <f ca="1">+Investments!P58</f>
        <v>EXPIRED</v>
      </c>
      <c r="G63" s="74" t="e">
        <f t="shared" ca="1" si="134"/>
        <v>#VALUE!</v>
      </c>
      <c r="H63" s="5">
        <f>+SUMIFS(Income!D57:K57,Income!D$5:K$5,TRUE)</f>
        <v>0</v>
      </c>
      <c r="I63" s="5" t="str">
        <f ca="1">+Investments!Q58</f>
        <v>EXPIRED</v>
      </c>
      <c r="J63" s="5">
        <f ca="1">+RealEstate!G52</f>
        <v>0</v>
      </c>
      <c r="K63" s="5">
        <f t="shared" ca="1" si="135"/>
        <v>0</v>
      </c>
      <c r="L63" s="5">
        <f t="shared" ca="1" si="136"/>
        <v>0</v>
      </c>
      <c r="M63" s="25"/>
      <c r="N63" s="77" t="str">
        <f ca="1">+Investments!N58</f>
        <v>EXPIRED</v>
      </c>
      <c r="O63" s="77">
        <f t="shared" ca="1" si="191"/>
        <v>0</v>
      </c>
      <c r="P63" s="25"/>
      <c r="Q63" s="32" t="e">
        <f t="shared" ca="1" si="41"/>
        <v>#VALUE!</v>
      </c>
      <c r="R63" s="32" t="e">
        <f t="shared" ca="1" si="137"/>
        <v>#VALUE!</v>
      </c>
      <c r="S63" s="32" t="e">
        <f ca="1">+AQ63+RealEstate!H52</f>
        <v>#VALUE!</v>
      </c>
      <c r="T63" s="32">
        <f ca="1">+RealEstate!I52</f>
        <v>0</v>
      </c>
      <c r="U63" s="32" t="e">
        <f t="shared" ca="1" si="138"/>
        <v>#VALUE!</v>
      </c>
      <c r="V63" s="32" t="e">
        <f t="shared" ca="1" si="36"/>
        <v>#VALUE!</v>
      </c>
      <c r="W63" s="32">
        <f t="shared" ca="1" si="139"/>
        <v>0</v>
      </c>
      <c r="Z63" s="25"/>
      <c r="AA63" s="90" t="e">
        <f t="shared" ca="1" si="57"/>
        <v>#VALUE!</v>
      </c>
      <c r="AB63" s="25"/>
      <c r="AC63" s="2" t="e">
        <f t="shared" ca="1" si="140"/>
        <v>#VALUE!</v>
      </c>
      <c r="AD63" s="2" t="e">
        <f t="shared" ref="AD63:AL63" ca="1" si="201">MAX(0,MIN($V63,AD$11*$C63)-AC$11*$C63)*AC$10</f>
        <v>#VALUE!</v>
      </c>
      <c r="AE63" s="2" t="e">
        <f t="shared" ca="1" si="201"/>
        <v>#VALUE!</v>
      </c>
      <c r="AF63" s="2" t="e">
        <f t="shared" ca="1" si="201"/>
        <v>#VALUE!</v>
      </c>
      <c r="AG63" s="2" t="e">
        <f t="shared" ca="1" si="201"/>
        <v>#VALUE!</v>
      </c>
      <c r="AH63" s="2" t="e">
        <f t="shared" ca="1" si="201"/>
        <v>#VALUE!</v>
      </c>
      <c r="AI63" s="2" t="e">
        <f t="shared" ca="1" si="201"/>
        <v>#VALUE!</v>
      </c>
      <c r="AJ63" s="2" t="e">
        <f t="shared" ca="1" si="201"/>
        <v>#VALUE!</v>
      </c>
      <c r="AK63" s="2" t="e">
        <f t="shared" ca="1" si="201"/>
        <v>#VALUE!</v>
      </c>
      <c r="AL63" s="2" t="e">
        <f t="shared" ca="1" si="201"/>
        <v>#VALUE!</v>
      </c>
      <c r="AM63" s="25"/>
      <c r="AN63" s="2" t="e">
        <f t="shared" ca="1" si="142"/>
        <v>#VALUE!</v>
      </c>
      <c r="AO63" s="2" t="e">
        <f t="shared" ca="1" si="143"/>
        <v>#VALUE!</v>
      </c>
      <c r="AP63" s="25"/>
      <c r="AQ63" s="2" t="e">
        <f t="shared" ca="1" si="144"/>
        <v>#VALUE!</v>
      </c>
      <c r="AR63" s="2" t="e">
        <f t="shared" ref="AR63:AZ63" ca="1" si="202">MAX(0,MIN($R63,AR$11*$C63)-AQ$11*$C63)*AQ$10</f>
        <v>#VALUE!</v>
      </c>
      <c r="AS63" s="2" t="e">
        <f t="shared" ca="1" si="202"/>
        <v>#VALUE!</v>
      </c>
      <c r="AT63" s="2" t="e">
        <f t="shared" ca="1" si="202"/>
        <v>#VALUE!</v>
      </c>
      <c r="AU63" s="2" t="e">
        <f t="shared" ca="1" si="202"/>
        <v>#VALUE!</v>
      </c>
      <c r="AV63" s="2" t="e">
        <f t="shared" ca="1" si="202"/>
        <v>#VALUE!</v>
      </c>
      <c r="AW63" s="2" t="e">
        <f t="shared" ca="1" si="202"/>
        <v>#VALUE!</v>
      </c>
      <c r="AX63" s="2" t="e">
        <f t="shared" ca="1" si="202"/>
        <v>#VALUE!</v>
      </c>
      <c r="AY63" s="2" t="e">
        <f t="shared" ca="1" si="202"/>
        <v>#VALUE!</v>
      </c>
      <c r="AZ63" s="2" t="e">
        <f t="shared" ca="1" si="202"/>
        <v>#VALUE!</v>
      </c>
      <c r="BA63" s="25"/>
      <c r="BB63" s="2">
        <f t="shared" ca="1" si="146"/>
        <v>0</v>
      </c>
      <c r="BC63" s="2">
        <f t="shared" ref="BC63:BK63" ca="1" si="203">MAX(0,MIN($W63,BC$11*$C63)-BB$11*$C63)*BB$10</f>
        <v>0</v>
      </c>
      <c r="BD63" s="2">
        <f t="shared" ca="1" si="203"/>
        <v>0</v>
      </c>
      <c r="BE63" s="2">
        <f t="shared" ca="1" si="203"/>
        <v>0</v>
      </c>
      <c r="BF63" s="2">
        <f t="shared" ca="1" si="203"/>
        <v>0</v>
      </c>
      <c r="BG63" s="2">
        <f t="shared" ca="1" si="203"/>
        <v>0</v>
      </c>
      <c r="BH63" s="2">
        <f t="shared" ca="1" si="203"/>
        <v>0</v>
      </c>
      <c r="BI63" s="2">
        <f t="shared" ca="1" si="203"/>
        <v>0</v>
      </c>
      <c r="BJ63" s="2">
        <f t="shared" ca="1" si="203"/>
        <v>0</v>
      </c>
      <c r="BK63" s="2">
        <f t="shared" ca="1" si="203"/>
        <v>0</v>
      </c>
      <c r="BL63" s="25"/>
      <c r="BM63" s="145" t="e">
        <f t="shared" ca="1" si="148"/>
        <v>#VALUE!</v>
      </c>
      <c r="BN63" s="145" t="e">
        <f t="shared" ca="1" si="149"/>
        <v>#VALUE!</v>
      </c>
      <c r="BO63" s="145" t="e">
        <f t="shared" ca="1" si="150"/>
        <v>#VALUE!</v>
      </c>
      <c r="BP63" s="145" t="e">
        <f t="shared" ca="1" si="151"/>
        <v>#VALUE!</v>
      </c>
      <c r="BQ63" s="145">
        <f t="shared" ca="1" si="152"/>
        <v>0</v>
      </c>
      <c r="BR63" s="145" t="e">
        <f t="shared" ca="1" si="40"/>
        <v>#VALUE!</v>
      </c>
      <c r="BS63" s="145" t="e">
        <f t="shared" ca="1" si="153"/>
        <v>#VALUE!</v>
      </c>
      <c r="BT63" s="145" t="e">
        <f t="shared" ca="1" si="154"/>
        <v>#VALUE!</v>
      </c>
      <c r="BU63" s="145" t="e">
        <f t="shared" ca="1" si="155"/>
        <v>#VALUE!</v>
      </c>
      <c r="BV63" s="145" t="e">
        <f t="shared" ca="1" si="156"/>
        <v>#VALUE!</v>
      </c>
      <c r="BW63" s="146" t="e">
        <f t="shared" ca="1" si="157"/>
        <v>#VALUE!</v>
      </c>
      <c r="BX63" s="146" t="e">
        <f t="shared" ca="1" si="158"/>
        <v>#VALUE!</v>
      </c>
      <c r="BY63" s="146" t="e">
        <f t="shared" ca="1" si="159"/>
        <v>#VALUE!</v>
      </c>
    </row>
    <row r="64" spans="1:77" x14ac:dyDescent="0.25">
      <c r="A64" s="14">
        <f t="shared" si="160"/>
        <v>48</v>
      </c>
      <c r="B64" s="14">
        <f t="shared" si="160"/>
        <v>88</v>
      </c>
      <c r="C64" s="38">
        <f t="shared" si="4"/>
        <v>2.5870703854994277</v>
      </c>
      <c r="D64" s="25"/>
      <c r="E64" s="74">
        <f>+SUMIFS(Income!D58:K58,Income!D$5:K$5,FALSE)</f>
        <v>64676.759637485695</v>
      </c>
      <c r="F64" s="74" t="str">
        <f ca="1">+Investments!P59</f>
        <v>EXPIRED</v>
      </c>
      <c r="G64" s="74" t="e">
        <f t="shared" ca="1" si="134"/>
        <v>#VALUE!</v>
      </c>
      <c r="H64" s="5">
        <f>+SUMIFS(Income!D58:K58,Income!D$5:K$5,TRUE)</f>
        <v>0</v>
      </c>
      <c r="I64" s="5" t="str">
        <f ca="1">+Investments!Q59</f>
        <v>EXPIRED</v>
      </c>
      <c r="J64" s="5">
        <f ca="1">+RealEstate!G53</f>
        <v>0</v>
      </c>
      <c r="K64" s="5">
        <f t="shared" ca="1" si="135"/>
        <v>0</v>
      </c>
      <c r="L64" s="5">
        <f t="shared" ca="1" si="136"/>
        <v>0</v>
      </c>
      <c r="M64" s="25"/>
      <c r="N64" s="77" t="str">
        <f ca="1">+Investments!N59</f>
        <v>EXPIRED</v>
      </c>
      <c r="O64" s="77">
        <f t="shared" ca="1" si="191"/>
        <v>0</v>
      </c>
      <c r="P64" s="25"/>
      <c r="Q64" s="32" t="e">
        <f t="shared" ca="1" si="41"/>
        <v>#VALUE!</v>
      </c>
      <c r="R64" s="32" t="e">
        <f t="shared" ca="1" si="137"/>
        <v>#VALUE!</v>
      </c>
      <c r="S64" s="32" t="e">
        <f ca="1">+AQ64+RealEstate!H53</f>
        <v>#VALUE!</v>
      </c>
      <c r="T64" s="32">
        <f ca="1">+RealEstate!I53</f>
        <v>0</v>
      </c>
      <c r="U64" s="32" t="e">
        <f t="shared" ca="1" si="138"/>
        <v>#VALUE!</v>
      </c>
      <c r="V64" s="32" t="e">
        <f t="shared" ca="1" si="36"/>
        <v>#VALUE!</v>
      </c>
      <c r="W64" s="32">
        <f t="shared" ca="1" si="139"/>
        <v>0</v>
      </c>
      <c r="Z64" s="25"/>
      <c r="AA64" s="90" t="e">
        <f t="shared" ca="1" si="57"/>
        <v>#VALUE!</v>
      </c>
      <c r="AB64" s="25"/>
      <c r="AC64" s="2" t="e">
        <f t="shared" ca="1" si="140"/>
        <v>#VALUE!</v>
      </c>
      <c r="AD64" s="2" t="e">
        <f t="shared" ref="AD64:AL64" ca="1" si="204">MAX(0,MIN($V64,AD$11*$C64)-AC$11*$C64)*AC$10</f>
        <v>#VALUE!</v>
      </c>
      <c r="AE64" s="2" t="e">
        <f t="shared" ca="1" si="204"/>
        <v>#VALUE!</v>
      </c>
      <c r="AF64" s="2" t="e">
        <f t="shared" ca="1" si="204"/>
        <v>#VALUE!</v>
      </c>
      <c r="AG64" s="2" t="e">
        <f t="shared" ca="1" si="204"/>
        <v>#VALUE!</v>
      </c>
      <c r="AH64" s="2" t="e">
        <f t="shared" ca="1" si="204"/>
        <v>#VALUE!</v>
      </c>
      <c r="AI64" s="2" t="e">
        <f t="shared" ca="1" si="204"/>
        <v>#VALUE!</v>
      </c>
      <c r="AJ64" s="2" t="e">
        <f t="shared" ca="1" si="204"/>
        <v>#VALUE!</v>
      </c>
      <c r="AK64" s="2" t="e">
        <f t="shared" ca="1" si="204"/>
        <v>#VALUE!</v>
      </c>
      <c r="AL64" s="2" t="e">
        <f t="shared" ca="1" si="204"/>
        <v>#VALUE!</v>
      </c>
      <c r="AM64" s="25"/>
      <c r="AN64" s="2" t="e">
        <f t="shared" ca="1" si="142"/>
        <v>#VALUE!</v>
      </c>
      <c r="AO64" s="2" t="e">
        <f t="shared" ca="1" si="143"/>
        <v>#VALUE!</v>
      </c>
      <c r="AP64" s="25"/>
      <c r="AQ64" s="2" t="e">
        <f t="shared" ca="1" si="144"/>
        <v>#VALUE!</v>
      </c>
      <c r="AR64" s="2" t="e">
        <f t="shared" ref="AR64:AZ64" ca="1" si="205">MAX(0,MIN($R64,AR$11*$C64)-AQ$11*$C64)*AQ$10</f>
        <v>#VALUE!</v>
      </c>
      <c r="AS64" s="2" t="e">
        <f t="shared" ca="1" si="205"/>
        <v>#VALUE!</v>
      </c>
      <c r="AT64" s="2" t="e">
        <f t="shared" ca="1" si="205"/>
        <v>#VALUE!</v>
      </c>
      <c r="AU64" s="2" t="e">
        <f t="shared" ca="1" si="205"/>
        <v>#VALUE!</v>
      </c>
      <c r="AV64" s="2" t="e">
        <f t="shared" ca="1" si="205"/>
        <v>#VALUE!</v>
      </c>
      <c r="AW64" s="2" t="e">
        <f t="shared" ca="1" si="205"/>
        <v>#VALUE!</v>
      </c>
      <c r="AX64" s="2" t="e">
        <f t="shared" ca="1" si="205"/>
        <v>#VALUE!</v>
      </c>
      <c r="AY64" s="2" t="e">
        <f t="shared" ca="1" si="205"/>
        <v>#VALUE!</v>
      </c>
      <c r="AZ64" s="2" t="e">
        <f t="shared" ca="1" si="205"/>
        <v>#VALUE!</v>
      </c>
      <c r="BA64" s="25"/>
      <c r="BB64" s="2">
        <f t="shared" ca="1" si="146"/>
        <v>0</v>
      </c>
      <c r="BC64" s="2">
        <f t="shared" ref="BC64:BK64" ca="1" si="206">MAX(0,MIN($W64,BC$11*$C64)-BB$11*$C64)*BB$10</f>
        <v>0</v>
      </c>
      <c r="BD64" s="2">
        <f t="shared" ca="1" si="206"/>
        <v>0</v>
      </c>
      <c r="BE64" s="2">
        <f t="shared" ca="1" si="206"/>
        <v>0</v>
      </c>
      <c r="BF64" s="2">
        <f t="shared" ca="1" si="206"/>
        <v>0</v>
      </c>
      <c r="BG64" s="2">
        <f t="shared" ca="1" si="206"/>
        <v>0</v>
      </c>
      <c r="BH64" s="2">
        <f t="shared" ca="1" si="206"/>
        <v>0</v>
      </c>
      <c r="BI64" s="2">
        <f t="shared" ca="1" si="206"/>
        <v>0</v>
      </c>
      <c r="BJ64" s="2">
        <f t="shared" ca="1" si="206"/>
        <v>0</v>
      </c>
      <c r="BK64" s="2">
        <f t="shared" ca="1" si="206"/>
        <v>0</v>
      </c>
      <c r="BL64" s="25"/>
      <c r="BM64" s="145" t="e">
        <f t="shared" ca="1" si="148"/>
        <v>#VALUE!</v>
      </c>
      <c r="BN64" s="145" t="e">
        <f t="shared" ca="1" si="149"/>
        <v>#VALUE!</v>
      </c>
      <c r="BO64" s="145" t="e">
        <f t="shared" ca="1" si="150"/>
        <v>#VALUE!</v>
      </c>
      <c r="BP64" s="145" t="e">
        <f t="shared" ca="1" si="151"/>
        <v>#VALUE!</v>
      </c>
      <c r="BQ64" s="145">
        <f t="shared" ca="1" si="152"/>
        <v>0</v>
      </c>
      <c r="BR64" s="145" t="e">
        <f t="shared" ca="1" si="40"/>
        <v>#VALUE!</v>
      </c>
      <c r="BS64" s="145" t="e">
        <f t="shared" ca="1" si="153"/>
        <v>#VALUE!</v>
      </c>
      <c r="BT64" s="145" t="e">
        <f t="shared" ca="1" si="154"/>
        <v>#VALUE!</v>
      </c>
      <c r="BU64" s="145" t="e">
        <f t="shared" ca="1" si="155"/>
        <v>#VALUE!</v>
      </c>
      <c r="BV64" s="145" t="e">
        <f t="shared" ca="1" si="156"/>
        <v>#VALUE!</v>
      </c>
      <c r="BW64" s="146" t="e">
        <f t="shared" ca="1" si="157"/>
        <v>#VALUE!</v>
      </c>
      <c r="BX64" s="146" t="e">
        <f t="shared" ca="1" si="158"/>
        <v>#VALUE!</v>
      </c>
      <c r="BY64" s="146" t="e">
        <f t="shared" ca="1" si="159"/>
        <v>#VALUE!</v>
      </c>
    </row>
    <row r="65" spans="1:77" x14ac:dyDescent="0.25">
      <c r="A65" s="14">
        <f t="shared" si="160"/>
        <v>49</v>
      </c>
      <c r="B65" s="14">
        <f t="shared" si="160"/>
        <v>89</v>
      </c>
      <c r="C65" s="38">
        <f t="shared" si="4"/>
        <v>2.6388117932094164</v>
      </c>
      <c r="D65" s="25"/>
      <c r="E65" s="74">
        <f>+SUMIFS(Income!D59:K59,Income!D$5:K$5,FALSE)</f>
        <v>65970.294830235405</v>
      </c>
      <c r="F65" s="74" t="str">
        <f ca="1">+Investments!P60</f>
        <v>EXPIRED</v>
      </c>
      <c r="G65" s="74" t="e">
        <f t="shared" ca="1" si="134"/>
        <v>#VALUE!</v>
      </c>
      <c r="H65" s="5">
        <f>+SUMIFS(Income!D59:K59,Income!D$5:K$5,TRUE)</f>
        <v>0</v>
      </c>
      <c r="I65" s="5" t="str">
        <f ca="1">+Investments!Q60</f>
        <v>EXPIRED</v>
      </c>
      <c r="J65" s="5">
        <f ca="1">+RealEstate!G54</f>
        <v>0</v>
      </c>
      <c r="K65" s="5">
        <f t="shared" ca="1" si="135"/>
        <v>0</v>
      </c>
      <c r="L65" s="5">
        <f t="shared" ca="1" si="136"/>
        <v>0</v>
      </c>
      <c r="M65" s="25"/>
      <c r="N65" s="77" t="str">
        <f ca="1">+Investments!N60</f>
        <v>EXPIRED</v>
      </c>
      <c r="O65" s="77">
        <f t="shared" ca="1" si="191"/>
        <v>0</v>
      </c>
      <c r="P65" s="25"/>
      <c r="Q65" s="32" t="e">
        <f t="shared" ca="1" si="41"/>
        <v>#VALUE!</v>
      </c>
      <c r="R65" s="32" t="e">
        <f t="shared" ca="1" si="137"/>
        <v>#VALUE!</v>
      </c>
      <c r="S65" s="32" t="e">
        <f ca="1">+AQ65+RealEstate!H54</f>
        <v>#VALUE!</v>
      </c>
      <c r="T65" s="32">
        <f ca="1">+RealEstate!I54</f>
        <v>0</v>
      </c>
      <c r="U65" s="32" t="e">
        <f t="shared" ca="1" si="138"/>
        <v>#VALUE!</v>
      </c>
      <c r="V65" s="32" t="e">
        <f t="shared" ca="1" si="36"/>
        <v>#VALUE!</v>
      </c>
      <c r="W65" s="32">
        <f t="shared" ca="1" si="139"/>
        <v>0</v>
      </c>
      <c r="Z65" s="25"/>
      <c r="AA65" s="90" t="e">
        <f t="shared" ca="1" si="57"/>
        <v>#VALUE!</v>
      </c>
      <c r="AB65" s="25"/>
      <c r="AC65" s="2" t="e">
        <f t="shared" ca="1" si="140"/>
        <v>#VALUE!</v>
      </c>
      <c r="AD65" s="2" t="e">
        <f t="shared" ref="AD65:AL65" ca="1" si="207">MAX(0,MIN($V65,AD$11*$C65)-AC$11*$C65)*AC$10</f>
        <v>#VALUE!</v>
      </c>
      <c r="AE65" s="2" t="e">
        <f t="shared" ca="1" si="207"/>
        <v>#VALUE!</v>
      </c>
      <c r="AF65" s="2" t="e">
        <f t="shared" ca="1" si="207"/>
        <v>#VALUE!</v>
      </c>
      <c r="AG65" s="2" t="e">
        <f t="shared" ca="1" si="207"/>
        <v>#VALUE!</v>
      </c>
      <c r="AH65" s="2" t="e">
        <f t="shared" ca="1" si="207"/>
        <v>#VALUE!</v>
      </c>
      <c r="AI65" s="2" t="e">
        <f t="shared" ca="1" si="207"/>
        <v>#VALUE!</v>
      </c>
      <c r="AJ65" s="2" t="e">
        <f t="shared" ca="1" si="207"/>
        <v>#VALUE!</v>
      </c>
      <c r="AK65" s="2" t="e">
        <f t="shared" ca="1" si="207"/>
        <v>#VALUE!</v>
      </c>
      <c r="AL65" s="2" t="e">
        <f t="shared" ca="1" si="207"/>
        <v>#VALUE!</v>
      </c>
      <c r="AM65" s="25"/>
      <c r="AN65" s="2" t="e">
        <f t="shared" ca="1" si="142"/>
        <v>#VALUE!</v>
      </c>
      <c r="AO65" s="2" t="e">
        <f t="shared" ca="1" si="143"/>
        <v>#VALUE!</v>
      </c>
      <c r="AP65" s="25"/>
      <c r="AQ65" s="2" t="e">
        <f t="shared" ca="1" si="144"/>
        <v>#VALUE!</v>
      </c>
      <c r="AR65" s="2" t="e">
        <f t="shared" ref="AR65:AZ65" ca="1" si="208">MAX(0,MIN($R65,AR$11*$C65)-AQ$11*$C65)*AQ$10</f>
        <v>#VALUE!</v>
      </c>
      <c r="AS65" s="2" t="e">
        <f t="shared" ca="1" si="208"/>
        <v>#VALUE!</v>
      </c>
      <c r="AT65" s="2" t="e">
        <f t="shared" ca="1" si="208"/>
        <v>#VALUE!</v>
      </c>
      <c r="AU65" s="2" t="e">
        <f t="shared" ca="1" si="208"/>
        <v>#VALUE!</v>
      </c>
      <c r="AV65" s="2" t="e">
        <f t="shared" ca="1" si="208"/>
        <v>#VALUE!</v>
      </c>
      <c r="AW65" s="2" t="e">
        <f t="shared" ca="1" si="208"/>
        <v>#VALUE!</v>
      </c>
      <c r="AX65" s="2" t="e">
        <f t="shared" ca="1" si="208"/>
        <v>#VALUE!</v>
      </c>
      <c r="AY65" s="2" t="e">
        <f t="shared" ca="1" si="208"/>
        <v>#VALUE!</v>
      </c>
      <c r="AZ65" s="2" t="e">
        <f t="shared" ca="1" si="208"/>
        <v>#VALUE!</v>
      </c>
      <c r="BA65" s="25"/>
      <c r="BB65" s="2">
        <f t="shared" ca="1" si="146"/>
        <v>0</v>
      </c>
      <c r="BC65" s="2">
        <f t="shared" ref="BC65:BK65" ca="1" si="209">MAX(0,MIN($W65,BC$11*$C65)-BB$11*$C65)*BB$10</f>
        <v>0</v>
      </c>
      <c r="BD65" s="2">
        <f t="shared" ca="1" si="209"/>
        <v>0</v>
      </c>
      <c r="BE65" s="2">
        <f t="shared" ca="1" si="209"/>
        <v>0</v>
      </c>
      <c r="BF65" s="2">
        <f t="shared" ca="1" si="209"/>
        <v>0</v>
      </c>
      <c r="BG65" s="2">
        <f t="shared" ca="1" si="209"/>
        <v>0</v>
      </c>
      <c r="BH65" s="2">
        <f t="shared" ca="1" si="209"/>
        <v>0</v>
      </c>
      <c r="BI65" s="2">
        <f t="shared" ca="1" si="209"/>
        <v>0</v>
      </c>
      <c r="BJ65" s="2">
        <f t="shared" ca="1" si="209"/>
        <v>0</v>
      </c>
      <c r="BK65" s="2">
        <f t="shared" ca="1" si="209"/>
        <v>0</v>
      </c>
      <c r="BL65" s="25"/>
      <c r="BM65" s="145" t="e">
        <f t="shared" ca="1" si="148"/>
        <v>#VALUE!</v>
      </c>
      <c r="BN65" s="145" t="e">
        <f t="shared" ca="1" si="149"/>
        <v>#VALUE!</v>
      </c>
      <c r="BO65" s="145" t="e">
        <f t="shared" ca="1" si="150"/>
        <v>#VALUE!</v>
      </c>
      <c r="BP65" s="145" t="e">
        <f t="shared" ca="1" si="151"/>
        <v>#VALUE!</v>
      </c>
      <c r="BQ65" s="145">
        <f t="shared" ca="1" si="152"/>
        <v>0</v>
      </c>
      <c r="BR65" s="145" t="e">
        <f t="shared" ca="1" si="40"/>
        <v>#VALUE!</v>
      </c>
      <c r="BS65" s="145" t="e">
        <f t="shared" ca="1" si="153"/>
        <v>#VALUE!</v>
      </c>
      <c r="BT65" s="145" t="e">
        <f t="shared" ca="1" si="154"/>
        <v>#VALUE!</v>
      </c>
      <c r="BU65" s="145" t="e">
        <f t="shared" ca="1" si="155"/>
        <v>#VALUE!</v>
      </c>
      <c r="BV65" s="145" t="e">
        <f t="shared" ca="1" si="156"/>
        <v>#VALUE!</v>
      </c>
      <c r="BW65" s="146" t="e">
        <f t="shared" ca="1" si="157"/>
        <v>#VALUE!</v>
      </c>
      <c r="BX65" s="146" t="e">
        <f t="shared" ca="1" si="158"/>
        <v>#VALUE!</v>
      </c>
      <c r="BY65" s="146" t="e">
        <f t="shared" ca="1" si="159"/>
        <v>#VALUE!</v>
      </c>
    </row>
    <row r="66" spans="1:77" x14ac:dyDescent="0.25">
      <c r="A66" s="14">
        <f t="shared" ref="A66:B81" si="210">+A65+1</f>
        <v>50</v>
      </c>
      <c r="B66" s="14">
        <f t="shared" si="210"/>
        <v>90</v>
      </c>
      <c r="C66" s="38">
        <f t="shared" si="4"/>
        <v>2.6915880290736047</v>
      </c>
      <c r="D66" s="25"/>
      <c r="E66" s="74">
        <f>+SUMIFS(Income!D60:K60,Income!D$5:K$5,FALSE)</f>
        <v>67289.700726840121</v>
      </c>
      <c r="F66" s="74" t="str">
        <f ca="1">+Investments!P61</f>
        <v>EXPIRED</v>
      </c>
      <c r="G66" s="74" t="e">
        <f t="shared" ca="1" si="134"/>
        <v>#VALUE!</v>
      </c>
      <c r="H66" s="5">
        <f>+SUMIFS(Income!D60:K60,Income!D$5:K$5,TRUE)</f>
        <v>0</v>
      </c>
      <c r="I66" s="5" t="str">
        <f ca="1">+Investments!Q61</f>
        <v>EXPIRED</v>
      </c>
      <c r="J66" s="5">
        <f ca="1">+RealEstate!G55</f>
        <v>0</v>
      </c>
      <c r="K66" s="5">
        <f t="shared" ca="1" si="135"/>
        <v>0</v>
      </c>
      <c r="L66" s="5">
        <f t="shared" ca="1" si="136"/>
        <v>0</v>
      </c>
      <c r="M66" s="25"/>
      <c r="N66" s="77" t="str">
        <f ca="1">+Investments!N61</f>
        <v>EXPIRED</v>
      </c>
      <c r="O66" s="77">
        <f t="shared" ca="1" si="191"/>
        <v>0</v>
      </c>
      <c r="P66" s="25"/>
      <c r="Q66" s="32" t="e">
        <f t="shared" ca="1" si="41"/>
        <v>#VALUE!</v>
      </c>
      <c r="R66" s="32" t="e">
        <f t="shared" ca="1" si="137"/>
        <v>#VALUE!</v>
      </c>
      <c r="S66" s="32" t="e">
        <f ca="1">+AQ66+RealEstate!H55</f>
        <v>#VALUE!</v>
      </c>
      <c r="T66" s="32">
        <f ca="1">+RealEstate!I55</f>
        <v>0</v>
      </c>
      <c r="U66" s="32" t="e">
        <f t="shared" ca="1" si="138"/>
        <v>#VALUE!</v>
      </c>
      <c r="V66" s="32" t="e">
        <f t="shared" ca="1" si="36"/>
        <v>#VALUE!</v>
      </c>
      <c r="W66" s="32">
        <f t="shared" ca="1" si="139"/>
        <v>0</v>
      </c>
      <c r="Z66" s="25"/>
      <c r="AA66" s="90" t="e">
        <f t="shared" ca="1" si="57"/>
        <v>#VALUE!</v>
      </c>
      <c r="AB66" s="25"/>
      <c r="AC66" s="2" t="e">
        <f t="shared" ca="1" si="140"/>
        <v>#VALUE!</v>
      </c>
      <c r="AD66" s="2" t="e">
        <f t="shared" ref="AD66:AL66" ca="1" si="211">MAX(0,MIN($V66,AD$11*$C66)-AC$11*$C66)*AC$10</f>
        <v>#VALUE!</v>
      </c>
      <c r="AE66" s="2" t="e">
        <f t="shared" ca="1" si="211"/>
        <v>#VALUE!</v>
      </c>
      <c r="AF66" s="2" t="e">
        <f t="shared" ca="1" si="211"/>
        <v>#VALUE!</v>
      </c>
      <c r="AG66" s="2" t="e">
        <f t="shared" ca="1" si="211"/>
        <v>#VALUE!</v>
      </c>
      <c r="AH66" s="2" t="e">
        <f t="shared" ca="1" si="211"/>
        <v>#VALUE!</v>
      </c>
      <c r="AI66" s="2" t="e">
        <f t="shared" ca="1" si="211"/>
        <v>#VALUE!</v>
      </c>
      <c r="AJ66" s="2" t="e">
        <f t="shared" ca="1" si="211"/>
        <v>#VALUE!</v>
      </c>
      <c r="AK66" s="2" t="e">
        <f t="shared" ca="1" si="211"/>
        <v>#VALUE!</v>
      </c>
      <c r="AL66" s="2" t="e">
        <f t="shared" ca="1" si="211"/>
        <v>#VALUE!</v>
      </c>
      <c r="AM66" s="25"/>
      <c r="AN66" s="2" t="e">
        <f t="shared" ca="1" si="142"/>
        <v>#VALUE!</v>
      </c>
      <c r="AO66" s="2" t="e">
        <f t="shared" ca="1" si="143"/>
        <v>#VALUE!</v>
      </c>
      <c r="AP66" s="25"/>
      <c r="AQ66" s="2" t="e">
        <f t="shared" ca="1" si="144"/>
        <v>#VALUE!</v>
      </c>
      <c r="AR66" s="2" t="e">
        <f t="shared" ref="AR66:AZ66" ca="1" si="212">MAX(0,MIN($R66,AR$11*$C66)-AQ$11*$C66)*AQ$10</f>
        <v>#VALUE!</v>
      </c>
      <c r="AS66" s="2" t="e">
        <f t="shared" ca="1" si="212"/>
        <v>#VALUE!</v>
      </c>
      <c r="AT66" s="2" t="e">
        <f t="shared" ca="1" si="212"/>
        <v>#VALUE!</v>
      </c>
      <c r="AU66" s="2" t="e">
        <f t="shared" ca="1" si="212"/>
        <v>#VALUE!</v>
      </c>
      <c r="AV66" s="2" t="e">
        <f t="shared" ca="1" si="212"/>
        <v>#VALUE!</v>
      </c>
      <c r="AW66" s="2" t="e">
        <f t="shared" ca="1" si="212"/>
        <v>#VALUE!</v>
      </c>
      <c r="AX66" s="2" t="e">
        <f t="shared" ca="1" si="212"/>
        <v>#VALUE!</v>
      </c>
      <c r="AY66" s="2" t="e">
        <f t="shared" ca="1" si="212"/>
        <v>#VALUE!</v>
      </c>
      <c r="AZ66" s="2" t="e">
        <f t="shared" ca="1" si="212"/>
        <v>#VALUE!</v>
      </c>
      <c r="BA66" s="25"/>
      <c r="BB66" s="2">
        <f t="shared" ca="1" si="146"/>
        <v>0</v>
      </c>
      <c r="BC66" s="2">
        <f t="shared" ref="BC66:BK66" ca="1" si="213">MAX(0,MIN($W66,BC$11*$C66)-BB$11*$C66)*BB$10</f>
        <v>0</v>
      </c>
      <c r="BD66" s="2">
        <f t="shared" ca="1" si="213"/>
        <v>0</v>
      </c>
      <c r="BE66" s="2">
        <f t="shared" ca="1" si="213"/>
        <v>0</v>
      </c>
      <c r="BF66" s="2">
        <f t="shared" ca="1" si="213"/>
        <v>0</v>
      </c>
      <c r="BG66" s="2">
        <f t="shared" ca="1" si="213"/>
        <v>0</v>
      </c>
      <c r="BH66" s="2">
        <f t="shared" ca="1" si="213"/>
        <v>0</v>
      </c>
      <c r="BI66" s="2">
        <f t="shared" ca="1" si="213"/>
        <v>0</v>
      </c>
      <c r="BJ66" s="2">
        <f t="shared" ca="1" si="213"/>
        <v>0</v>
      </c>
      <c r="BK66" s="2">
        <f t="shared" ca="1" si="213"/>
        <v>0</v>
      </c>
      <c r="BL66" s="25"/>
      <c r="BM66" s="145" t="e">
        <f t="shared" ca="1" si="148"/>
        <v>#VALUE!</v>
      </c>
      <c r="BN66" s="145" t="e">
        <f t="shared" ca="1" si="149"/>
        <v>#VALUE!</v>
      </c>
      <c r="BO66" s="145" t="e">
        <f t="shared" ca="1" si="150"/>
        <v>#VALUE!</v>
      </c>
      <c r="BP66" s="145" t="e">
        <f t="shared" ca="1" si="151"/>
        <v>#VALUE!</v>
      </c>
      <c r="BQ66" s="145">
        <f t="shared" ca="1" si="152"/>
        <v>0</v>
      </c>
      <c r="BR66" s="145" t="e">
        <f t="shared" ca="1" si="40"/>
        <v>#VALUE!</v>
      </c>
      <c r="BS66" s="145" t="e">
        <f t="shared" ca="1" si="153"/>
        <v>#VALUE!</v>
      </c>
      <c r="BT66" s="145" t="e">
        <f t="shared" ca="1" si="154"/>
        <v>#VALUE!</v>
      </c>
      <c r="BU66" s="145" t="e">
        <f t="shared" ca="1" si="155"/>
        <v>#VALUE!</v>
      </c>
      <c r="BV66" s="145" t="e">
        <f t="shared" ca="1" si="156"/>
        <v>#VALUE!</v>
      </c>
      <c r="BW66" s="146" t="e">
        <f t="shared" ca="1" si="157"/>
        <v>#VALUE!</v>
      </c>
      <c r="BX66" s="146" t="e">
        <f t="shared" ca="1" si="158"/>
        <v>#VALUE!</v>
      </c>
      <c r="BY66" s="146" t="e">
        <f t="shared" ca="1" si="159"/>
        <v>#VALUE!</v>
      </c>
    </row>
    <row r="67" spans="1:77" x14ac:dyDescent="0.25">
      <c r="A67" s="14">
        <f t="shared" si="210"/>
        <v>51</v>
      </c>
      <c r="B67" s="14">
        <f t="shared" si="210"/>
        <v>91</v>
      </c>
      <c r="C67" s="38">
        <f t="shared" si="4"/>
        <v>2.7454197896550765</v>
      </c>
      <c r="D67" s="25"/>
      <c r="E67" s="74">
        <f>+SUMIFS(Income!D61:K61,Income!D$5:K$5,FALSE)</f>
        <v>68635.494741376911</v>
      </c>
      <c r="F67" s="74" t="str">
        <f ca="1">+Investments!P62</f>
        <v>EXPIRED</v>
      </c>
      <c r="G67" s="74" t="e">
        <f t="shared" ca="1" si="134"/>
        <v>#VALUE!</v>
      </c>
      <c r="H67" s="5">
        <f>+SUMIFS(Income!D61:K61,Income!D$5:K$5,TRUE)</f>
        <v>0</v>
      </c>
      <c r="I67" s="5" t="str">
        <f ca="1">+Investments!Q62</f>
        <v>EXPIRED</v>
      </c>
      <c r="J67" s="5">
        <f ca="1">+RealEstate!G56</f>
        <v>0</v>
      </c>
      <c r="K67" s="5">
        <f t="shared" ca="1" si="135"/>
        <v>0</v>
      </c>
      <c r="L67" s="5">
        <f t="shared" ca="1" si="136"/>
        <v>0</v>
      </c>
      <c r="M67" s="25"/>
      <c r="N67" s="77" t="str">
        <f ca="1">+Investments!N62</f>
        <v>EXPIRED</v>
      </c>
      <c r="O67" s="77">
        <f t="shared" ca="1" si="191"/>
        <v>0</v>
      </c>
      <c r="P67" s="25"/>
      <c r="Q67" s="32" t="e">
        <f t="shared" ca="1" si="41"/>
        <v>#VALUE!</v>
      </c>
      <c r="R67" s="32" t="e">
        <f t="shared" ca="1" si="137"/>
        <v>#VALUE!</v>
      </c>
      <c r="S67" s="32" t="e">
        <f ca="1">+AQ67+RealEstate!H56</f>
        <v>#VALUE!</v>
      </c>
      <c r="T67" s="32">
        <f ca="1">+RealEstate!I56</f>
        <v>0</v>
      </c>
      <c r="U67" s="32" t="e">
        <f t="shared" ca="1" si="138"/>
        <v>#VALUE!</v>
      </c>
      <c r="V67" s="32" t="e">
        <f t="shared" ca="1" si="36"/>
        <v>#VALUE!</v>
      </c>
      <c r="W67" s="32">
        <f t="shared" ca="1" si="139"/>
        <v>0</v>
      </c>
      <c r="Z67" s="25"/>
      <c r="AA67" s="90" t="e">
        <f t="shared" ca="1" si="57"/>
        <v>#VALUE!</v>
      </c>
      <c r="AB67" s="25"/>
      <c r="AC67" s="2" t="e">
        <f t="shared" ca="1" si="140"/>
        <v>#VALUE!</v>
      </c>
      <c r="AD67" s="2" t="e">
        <f t="shared" ref="AD67:AL67" ca="1" si="214">MAX(0,MIN($V67,AD$11*$C67)-AC$11*$C67)*AC$10</f>
        <v>#VALUE!</v>
      </c>
      <c r="AE67" s="2" t="e">
        <f t="shared" ca="1" si="214"/>
        <v>#VALUE!</v>
      </c>
      <c r="AF67" s="2" t="e">
        <f t="shared" ca="1" si="214"/>
        <v>#VALUE!</v>
      </c>
      <c r="AG67" s="2" t="e">
        <f t="shared" ca="1" si="214"/>
        <v>#VALUE!</v>
      </c>
      <c r="AH67" s="2" t="e">
        <f t="shared" ca="1" si="214"/>
        <v>#VALUE!</v>
      </c>
      <c r="AI67" s="2" t="e">
        <f t="shared" ca="1" si="214"/>
        <v>#VALUE!</v>
      </c>
      <c r="AJ67" s="2" t="e">
        <f t="shared" ca="1" si="214"/>
        <v>#VALUE!</v>
      </c>
      <c r="AK67" s="2" t="e">
        <f t="shared" ca="1" si="214"/>
        <v>#VALUE!</v>
      </c>
      <c r="AL67" s="2" t="e">
        <f t="shared" ca="1" si="214"/>
        <v>#VALUE!</v>
      </c>
      <c r="AM67" s="25"/>
      <c r="AN67" s="2" t="e">
        <f t="shared" ca="1" si="142"/>
        <v>#VALUE!</v>
      </c>
      <c r="AO67" s="2" t="e">
        <f t="shared" ca="1" si="143"/>
        <v>#VALUE!</v>
      </c>
      <c r="AP67" s="25"/>
      <c r="AQ67" s="2" t="e">
        <f t="shared" ca="1" si="144"/>
        <v>#VALUE!</v>
      </c>
      <c r="AR67" s="2" t="e">
        <f t="shared" ref="AR67:AZ67" ca="1" si="215">MAX(0,MIN($R67,AR$11*$C67)-AQ$11*$C67)*AQ$10</f>
        <v>#VALUE!</v>
      </c>
      <c r="AS67" s="2" t="e">
        <f t="shared" ca="1" si="215"/>
        <v>#VALUE!</v>
      </c>
      <c r="AT67" s="2" t="e">
        <f t="shared" ca="1" si="215"/>
        <v>#VALUE!</v>
      </c>
      <c r="AU67" s="2" t="e">
        <f t="shared" ca="1" si="215"/>
        <v>#VALUE!</v>
      </c>
      <c r="AV67" s="2" t="e">
        <f t="shared" ca="1" si="215"/>
        <v>#VALUE!</v>
      </c>
      <c r="AW67" s="2" t="e">
        <f t="shared" ca="1" si="215"/>
        <v>#VALUE!</v>
      </c>
      <c r="AX67" s="2" t="e">
        <f t="shared" ca="1" si="215"/>
        <v>#VALUE!</v>
      </c>
      <c r="AY67" s="2" t="e">
        <f t="shared" ca="1" si="215"/>
        <v>#VALUE!</v>
      </c>
      <c r="AZ67" s="2" t="e">
        <f t="shared" ca="1" si="215"/>
        <v>#VALUE!</v>
      </c>
      <c r="BA67" s="25"/>
      <c r="BB67" s="2">
        <f t="shared" ca="1" si="146"/>
        <v>0</v>
      </c>
      <c r="BC67" s="2">
        <f t="shared" ref="BC67:BK67" ca="1" si="216">MAX(0,MIN($W67,BC$11*$C67)-BB$11*$C67)*BB$10</f>
        <v>0</v>
      </c>
      <c r="BD67" s="2">
        <f t="shared" ca="1" si="216"/>
        <v>0</v>
      </c>
      <c r="BE67" s="2">
        <f t="shared" ca="1" si="216"/>
        <v>0</v>
      </c>
      <c r="BF67" s="2">
        <f t="shared" ca="1" si="216"/>
        <v>0</v>
      </c>
      <c r="BG67" s="2">
        <f t="shared" ca="1" si="216"/>
        <v>0</v>
      </c>
      <c r="BH67" s="2">
        <f t="shared" ca="1" si="216"/>
        <v>0</v>
      </c>
      <c r="BI67" s="2">
        <f t="shared" ca="1" si="216"/>
        <v>0</v>
      </c>
      <c r="BJ67" s="2">
        <f t="shared" ca="1" si="216"/>
        <v>0</v>
      </c>
      <c r="BK67" s="2">
        <f t="shared" ca="1" si="216"/>
        <v>0</v>
      </c>
      <c r="BL67" s="25"/>
      <c r="BM67" s="145" t="e">
        <f t="shared" ca="1" si="148"/>
        <v>#VALUE!</v>
      </c>
      <c r="BN67" s="145" t="e">
        <f t="shared" ca="1" si="149"/>
        <v>#VALUE!</v>
      </c>
      <c r="BO67" s="145" t="e">
        <f t="shared" ca="1" si="150"/>
        <v>#VALUE!</v>
      </c>
      <c r="BP67" s="145" t="e">
        <f t="shared" ca="1" si="151"/>
        <v>#VALUE!</v>
      </c>
      <c r="BQ67" s="145">
        <f t="shared" ca="1" si="152"/>
        <v>0</v>
      </c>
      <c r="BR67" s="145" t="e">
        <f t="shared" ca="1" si="40"/>
        <v>#VALUE!</v>
      </c>
      <c r="BS67" s="145" t="e">
        <f t="shared" ca="1" si="153"/>
        <v>#VALUE!</v>
      </c>
      <c r="BT67" s="145" t="e">
        <f t="shared" ca="1" si="154"/>
        <v>#VALUE!</v>
      </c>
      <c r="BU67" s="145" t="e">
        <f t="shared" ca="1" si="155"/>
        <v>#VALUE!</v>
      </c>
      <c r="BV67" s="145" t="e">
        <f t="shared" ca="1" si="156"/>
        <v>#VALUE!</v>
      </c>
      <c r="BW67" s="146" t="e">
        <f t="shared" ca="1" si="157"/>
        <v>#VALUE!</v>
      </c>
      <c r="BX67" s="146" t="e">
        <f t="shared" ca="1" si="158"/>
        <v>#VALUE!</v>
      </c>
      <c r="BY67" s="146" t="e">
        <f t="shared" ca="1" si="159"/>
        <v>#VALUE!</v>
      </c>
    </row>
    <row r="68" spans="1:77" x14ac:dyDescent="0.25">
      <c r="A68" s="14">
        <f t="shared" si="210"/>
        <v>52</v>
      </c>
      <c r="B68" s="14">
        <f t="shared" si="210"/>
        <v>92</v>
      </c>
      <c r="C68" s="38">
        <f t="shared" si="4"/>
        <v>2.8003281854481785</v>
      </c>
      <c r="D68" s="25"/>
      <c r="E68" s="74">
        <f>+SUMIFS(Income!D62:K62,Income!D$5:K$5,FALSE)</f>
        <v>70008.204636204464</v>
      </c>
      <c r="F68" s="74" t="str">
        <f ca="1">+Investments!P63</f>
        <v>EXPIRED</v>
      </c>
      <c r="G68" s="74" t="e">
        <f t="shared" ca="1" si="134"/>
        <v>#VALUE!</v>
      </c>
      <c r="H68" s="5">
        <f>+SUMIFS(Income!D62:K62,Income!D$5:K$5,TRUE)</f>
        <v>0</v>
      </c>
      <c r="I68" s="5" t="str">
        <f ca="1">+Investments!Q63</f>
        <v>EXPIRED</v>
      </c>
      <c r="J68" s="5">
        <f ca="1">+RealEstate!G57</f>
        <v>0</v>
      </c>
      <c r="K68" s="5">
        <f t="shared" ca="1" si="135"/>
        <v>0</v>
      </c>
      <c r="L68" s="5">
        <f t="shared" ca="1" si="136"/>
        <v>0</v>
      </c>
      <c r="M68" s="25"/>
      <c r="N68" s="77" t="str">
        <f ca="1">+Investments!N63</f>
        <v>EXPIRED</v>
      </c>
      <c r="O68" s="77">
        <f t="shared" ca="1" si="191"/>
        <v>0</v>
      </c>
      <c r="P68" s="25"/>
      <c r="Q68" s="32" t="e">
        <f t="shared" ca="1" si="41"/>
        <v>#VALUE!</v>
      </c>
      <c r="R68" s="32" t="e">
        <f t="shared" ca="1" si="137"/>
        <v>#VALUE!</v>
      </c>
      <c r="S68" s="32" t="e">
        <f ca="1">+AQ68+RealEstate!H57</f>
        <v>#VALUE!</v>
      </c>
      <c r="T68" s="32">
        <f ca="1">+RealEstate!I57</f>
        <v>0</v>
      </c>
      <c r="U68" s="32" t="e">
        <f t="shared" ca="1" si="138"/>
        <v>#VALUE!</v>
      </c>
      <c r="V68" s="32" t="e">
        <f t="shared" ca="1" si="36"/>
        <v>#VALUE!</v>
      </c>
      <c r="W68" s="32">
        <f t="shared" ca="1" si="139"/>
        <v>0</v>
      </c>
      <c r="Z68" s="25"/>
      <c r="AA68" s="90" t="e">
        <f t="shared" ca="1" si="57"/>
        <v>#VALUE!</v>
      </c>
      <c r="AB68" s="25"/>
      <c r="AC68" s="2" t="e">
        <f t="shared" ca="1" si="140"/>
        <v>#VALUE!</v>
      </c>
      <c r="AD68" s="2" t="e">
        <f t="shared" ref="AD68:AL68" ca="1" si="217">MAX(0,MIN($V68,AD$11*$C68)-AC$11*$C68)*AC$10</f>
        <v>#VALUE!</v>
      </c>
      <c r="AE68" s="2" t="e">
        <f t="shared" ca="1" si="217"/>
        <v>#VALUE!</v>
      </c>
      <c r="AF68" s="2" t="e">
        <f t="shared" ca="1" si="217"/>
        <v>#VALUE!</v>
      </c>
      <c r="AG68" s="2" t="e">
        <f t="shared" ca="1" si="217"/>
        <v>#VALUE!</v>
      </c>
      <c r="AH68" s="2" t="e">
        <f t="shared" ca="1" si="217"/>
        <v>#VALUE!</v>
      </c>
      <c r="AI68" s="2" t="e">
        <f t="shared" ca="1" si="217"/>
        <v>#VALUE!</v>
      </c>
      <c r="AJ68" s="2" t="e">
        <f t="shared" ca="1" si="217"/>
        <v>#VALUE!</v>
      </c>
      <c r="AK68" s="2" t="e">
        <f t="shared" ca="1" si="217"/>
        <v>#VALUE!</v>
      </c>
      <c r="AL68" s="2" t="e">
        <f t="shared" ca="1" si="217"/>
        <v>#VALUE!</v>
      </c>
      <c r="AM68" s="25"/>
      <c r="AN68" s="2" t="e">
        <f t="shared" ca="1" si="142"/>
        <v>#VALUE!</v>
      </c>
      <c r="AO68" s="2" t="e">
        <f t="shared" ca="1" si="143"/>
        <v>#VALUE!</v>
      </c>
      <c r="AP68" s="25"/>
      <c r="AQ68" s="2" t="e">
        <f t="shared" ca="1" si="144"/>
        <v>#VALUE!</v>
      </c>
      <c r="AR68" s="2" t="e">
        <f t="shared" ref="AR68:AZ68" ca="1" si="218">MAX(0,MIN($R68,AR$11*$C68)-AQ$11*$C68)*AQ$10</f>
        <v>#VALUE!</v>
      </c>
      <c r="AS68" s="2" t="e">
        <f t="shared" ca="1" si="218"/>
        <v>#VALUE!</v>
      </c>
      <c r="AT68" s="2" t="e">
        <f t="shared" ca="1" si="218"/>
        <v>#VALUE!</v>
      </c>
      <c r="AU68" s="2" t="e">
        <f t="shared" ca="1" si="218"/>
        <v>#VALUE!</v>
      </c>
      <c r="AV68" s="2" t="e">
        <f t="shared" ca="1" si="218"/>
        <v>#VALUE!</v>
      </c>
      <c r="AW68" s="2" t="e">
        <f t="shared" ca="1" si="218"/>
        <v>#VALUE!</v>
      </c>
      <c r="AX68" s="2" t="e">
        <f t="shared" ca="1" si="218"/>
        <v>#VALUE!</v>
      </c>
      <c r="AY68" s="2" t="e">
        <f t="shared" ca="1" si="218"/>
        <v>#VALUE!</v>
      </c>
      <c r="AZ68" s="2" t="e">
        <f t="shared" ca="1" si="218"/>
        <v>#VALUE!</v>
      </c>
      <c r="BA68" s="25"/>
      <c r="BB68" s="2">
        <f t="shared" ca="1" si="146"/>
        <v>0</v>
      </c>
      <c r="BC68" s="2">
        <f t="shared" ref="BC68:BK68" ca="1" si="219">MAX(0,MIN($W68,BC$11*$C68)-BB$11*$C68)*BB$10</f>
        <v>0</v>
      </c>
      <c r="BD68" s="2">
        <f t="shared" ca="1" si="219"/>
        <v>0</v>
      </c>
      <c r="BE68" s="2">
        <f t="shared" ca="1" si="219"/>
        <v>0</v>
      </c>
      <c r="BF68" s="2">
        <f t="shared" ca="1" si="219"/>
        <v>0</v>
      </c>
      <c r="BG68" s="2">
        <f t="shared" ca="1" si="219"/>
        <v>0</v>
      </c>
      <c r="BH68" s="2">
        <f t="shared" ca="1" si="219"/>
        <v>0</v>
      </c>
      <c r="BI68" s="2">
        <f t="shared" ca="1" si="219"/>
        <v>0</v>
      </c>
      <c r="BJ68" s="2">
        <f t="shared" ca="1" si="219"/>
        <v>0</v>
      </c>
      <c r="BK68" s="2">
        <f t="shared" ca="1" si="219"/>
        <v>0</v>
      </c>
      <c r="BL68" s="25"/>
      <c r="BM68" s="145" t="e">
        <f t="shared" ca="1" si="148"/>
        <v>#VALUE!</v>
      </c>
      <c r="BN68" s="145" t="e">
        <f t="shared" ca="1" si="149"/>
        <v>#VALUE!</v>
      </c>
      <c r="BO68" s="145" t="e">
        <f t="shared" ca="1" si="150"/>
        <v>#VALUE!</v>
      </c>
      <c r="BP68" s="145" t="e">
        <f t="shared" ca="1" si="151"/>
        <v>#VALUE!</v>
      </c>
      <c r="BQ68" s="145">
        <f t="shared" ca="1" si="152"/>
        <v>0</v>
      </c>
      <c r="BR68" s="145" t="e">
        <f t="shared" ca="1" si="40"/>
        <v>#VALUE!</v>
      </c>
      <c r="BS68" s="145" t="e">
        <f t="shared" ca="1" si="153"/>
        <v>#VALUE!</v>
      </c>
      <c r="BT68" s="145" t="e">
        <f t="shared" ca="1" si="154"/>
        <v>#VALUE!</v>
      </c>
      <c r="BU68" s="145" t="e">
        <f t="shared" ca="1" si="155"/>
        <v>#VALUE!</v>
      </c>
      <c r="BV68" s="145" t="e">
        <f t="shared" ca="1" si="156"/>
        <v>#VALUE!</v>
      </c>
      <c r="BW68" s="146" t="e">
        <f t="shared" ca="1" si="157"/>
        <v>#VALUE!</v>
      </c>
      <c r="BX68" s="146" t="e">
        <f t="shared" ca="1" si="158"/>
        <v>#VALUE!</v>
      </c>
      <c r="BY68" s="146" t="e">
        <f t="shared" ca="1" si="159"/>
        <v>#VALUE!</v>
      </c>
    </row>
    <row r="69" spans="1:77" x14ac:dyDescent="0.25">
      <c r="A69" s="14">
        <f t="shared" si="210"/>
        <v>53</v>
      </c>
      <c r="B69" s="14">
        <f t="shared" si="210"/>
        <v>93</v>
      </c>
      <c r="C69" s="38">
        <f t="shared" si="4"/>
        <v>2.8563347491571416</v>
      </c>
      <c r="D69" s="25"/>
      <c r="E69" s="74">
        <f>+SUMIFS(Income!D63:K63,Income!D$5:K$5,FALSE)</f>
        <v>71408.368728928544</v>
      </c>
      <c r="F69" s="74" t="str">
        <f ca="1">+Investments!P64</f>
        <v>EXPIRED</v>
      </c>
      <c r="G69" s="74" t="e">
        <f t="shared" ca="1" si="134"/>
        <v>#VALUE!</v>
      </c>
      <c r="H69" s="5">
        <f>+SUMIFS(Income!D63:K63,Income!D$5:K$5,TRUE)</f>
        <v>0</v>
      </c>
      <c r="I69" s="5" t="str">
        <f ca="1">+Investments!Q64</f>
        <v>EXPIRED</v>
      </c>
      <c r="J69" s="5">
        <f ca="1">+RealEstate!G58</f>
        <v>0</v>
      </c>
      <c r="K69" s="5">
        <f t="shared" ca="1" si="135"/>
        <v>0</v>
      </c>
      <c r="L69" s="5">
        <f t="shared" ca="1" si="136"/>
        <v>0</v>
      </c>
      <c r="M69" s="25"/>
      <c r="N69" s="77" t="str">
        <f ca="1">+Investments!N64</f>
        <v>EXPIRED</v>
      </c>
      <c r="O69" s="77">
        <f t="shared" ca="1" si="191"/>
        <v>0</v>
      </c>
      <c r="P69" s="25"/>
      <c r="Q69" s="32" t="e">
        <f t="shared" ca="1" si="41"/>
        <v>#VALUE!</v>
      </c>
      <c r="R69" s="32" t="e">
        <f t="shared" ca="1" si="137"/>
        <v>#VALUE!</v>
      </c>
      <c r="S69" s="32" t="e">
        <f ca="1">+AQ69+RealEstate!H58</f>
        <v>#VALUE!</v>
      </c>
      <c r="T69" s="32">
        <f ca="1">+RealEstate!I58</f>
        <v>0</v>
      </c>
      <c r="U69" s="32" t="e">
        <f t="shared" ca="1" si="138"/>
        <v>#VALUE!</v>
      </c>
      <c r="V69" s="32" t="e">
        <f t="shared" ca="1" si="36"/>
        <v>#VALUE!</v>
      </c>
      <c r="W69" s="32">
        <f t="shared" ca="1" si="139"/>
        <v>0</v>
      </c>
      <c r="Z69" s="25"/>
      <c r="AA69" s="90" t="e">
        <f t="shared" ca="1" si="57"/>
        <v>#VALUE!</v>
      </c>
      <c r="AB69" s="25"/>
      <c r="AC69" s="2" t="e">
        <f t="shared" ca="1" si="140"/>
        <v>#VALUE!</v>
      </c>
      <c r="AD69" s="2" t="e">
        <f t="shared" ref="AD69:AL69" ca="1" si="220">MAX(0,MIN($V69,AD$11*$C69)-AC$11*$C69)*AC$10</f>
        <v>#VALUE!</v>
      </c>
      <c r="AE69" s="2" t="e">
        <f t="shared" ca="1" si="220"/>
        <v>#VALUE!</v>
      </c>
      <c r="AF69" s="2" t="e">
        <f t="shared" ca="1" si="220"/>
        <v>#VALUE!</v>
      </c>
      <c r="AG69" s="2" t="e">
        <f t="shared" ca="1" si="220"/>
        <v>#VALUE!</v>
      </c>
      <c r="AH69" s="2" t="e">
        <f t="shared" ca="1" si="220"/>
        <v>#VALUE!</v>
      </c>
      <c r="AI69" s="2" t="e">
        <f t="shared" ca="1" si="220"/>
        <v>#VALUE!</v>
      </c>
      <c r="AJ69" s="2" t="e">
        <f t="shared" ca="1" si="220"/>
        <v>#VALUE!</v>
      </c>
      <c r="AK69" s="2" t="e">
        <f t="shared" ca="1" si="220"/>
        <v>#VALUE!</v>
      </c>
      <c r="AL69" s="2" t="e">
        <f t="shared" ca="1" si="220"/>
        <v>#VALUE!</v>
      </c>
      <c r="AM69" s="25"/>
      <c r="AN69" s="2" t="e">
        <f t="shared" ca="1" si="142"/>
        <v>#VALUE!</v>
      </c>
      <c r="AO69" s="2" t="e">
        <f t="shared" ca="1" si="143"/>
        <v>#VALUE!</v>
      </c>
      <c r="AP69" s="25"/>
      <c r="AQ69" s="2" t="e">
        <f t="shared" ca="1" si="144"/>
        <v>#VALUE!</v>
      </c>
      <c r="AR69" s="2" t="e">
        <f t="shared" ref="AR69:AZ69" ca="1" si="221">MAX(0,MIN($R69,AR$11*$C69)-AQ$11*$C69)*AQ$10</f>
        <v>#VALUE!</v>
      </c>
      <c r="AS69" s="2" t="e">
        <f t="shared" ca="1" si="221"/>
        <v>#VALUE!</v>
      </c>
      <c r="AT69" s="2" t="e">
        <f t="shared" ca="1" si="221"/>
        <v>#VALUE!</v>
      </c>
      <c r="AU69" s="2" t="e">
        <f t="shared" ca="1" si="221"/>
        <v>#VALUE!</v>
      </c>
      <c r="AV69" s="2" t="e">
        <f t="shared" ca="1" si="221"/>
        <v>#VALUE!</v>
      </c>
      <c r="AW69" s="2" t="e">
        <f t="shared" ca="1" si="221"/>
        <v>#VALUE!</v>
      </c>
      <c r="AX69" s="2" t="e">
        <f t="shared" ca="1" si="221"/>
        <v>#VALUE!</v>
      </c>
      <c r="AY69" s="2" t="e">
        <f t="shared" ca="1" si="221"/>
        <v>#VALUE!</v>
      </c>
      <c r="AZ69" s="2" t="e">
        <f t="shared" ca="1" si="221"/>
        <v>#VALUE!</v>
      </c>
      <c r="BA69" s="25"/>
      <c r="BB69" s="2">
        <f t="shared" ca="1" si="146"/>
        <v>0</v>
      </c>
      <c r="BC69" s="2">
        <f t="shared" ref="BC69:BK69" ca="1" si="222">MAX(0,MIN($W69,BC$11*$C69)-BB$11*$C69)*BB$10</f>
        <v>0</v>
      </c>
      <c r="BD69" s="2">
        <f t="shared" ca="1" si="222"/>
        <v>0</v>
      </c>
      <c r="BE69" s="2">
        <f t="shared" ca="1" si="222"/>
        <v>0</v>
      </c>
      <c r="BF69" s="2">
        <f t="shared" ca="1" si="222"/>
        <v>0</v>
      </c>
      <c r="BG69" s="2">
        <f t="shared" ca="1" si="222"/>
        <v>0</v>
      </c>
      <c r="BH69" s="2">
        <f t="shared" ca="1" si="222"/>
        <v>0</v>
      </c>
      <c r="BI69" s="2">
        <f t="shared" ca="1" si="222"/>
        <v>0</v>
      </c>
      <c r="BJ69" s="2">
        <f t="shared" ca="1" si="222"/>
        <v>0</v>
      </c>
      <c r="BK69" s="2">
        <f t="shared" ca="1" si="222"/>
        <v>0</v>
      </c>
      <c r="BL69" s="25"/>
      <c r="BM69" s="145" t="e">
        <f t="shared" ca="1" si="148"/>
        <v>#VALUE!</v>
      </c>
      <c r="BN69" s="145" t="e">
        <f t="shared" ca="1" si="149"/>
        <v>#VALUE!</v>
      </c>
      <c r="BO69" s="145" t="e">
        <f t="shared" ca="1" si="150"/>
        <v>#VALUE!</v>
      </c>
      <c r="BP69" s="145" t="e">
        <f t="shared" ca="1" si="151"/>
        <v>#VALUE!</v>
      </c>
      <c r="BQ69" s="145">
        <f t="shared" ca="1" si="152"/>
        <v>0</v>
      </c>
      <c r="BR69" s="145" t="e">
        <f t="shared" ca="1" si="40"/>
        <v>#VALUE!</v>
      </c>
      <c r="BS69" s="145" t="e">
        <f t="shared" ca="1" si="153"/>
        <v>#VALUE!</v>
      </c>
      <c r="BT69" s="145" t="e">
        <f t="shared" ca="1" si="154"/>
        <v>#VALUE!</v>
      </c>
      <c r="BU69" s="145" t="e">
        <f t="shared" ca="1" si="155"/>
        <v>#VALUE!</v>
      </c>
      <c r="BV69" s="145" t="e">
        <f t="shared" ca="1" si="156"/>
        <v>#VALUE!</v>
      </c>
      <c r="BW69" s="146" t="e">
        <f t="shared" ca="1" si="157"/>
        <v>#VALUE!</v>
      </c>
      <c r="BX69" s="146" t="e">
        <f t="shared" ca="1" si="158"/>
        <v>#VALUE!</v>
      </c>
      <c r="BY69" s="146" t="e">
        <f t="shared" ca="1" si="159"/>
        <v>#VALUE!</v>
      </c>
    </row>
    <row r="70" spans="1:77" x14ac:dyDescent="0.25">
      <c r="A70" s="14">
        <f t="shared" si="210"/>
        <v>54</v>
      </c>
      <c r="B70" s="14">
        <f t="shared" si="210"/>
        <v>94</v>
      </c>
      <c r="C70" s="38">
        <f t="shared" si="4"/>
        <v>2.9134614441402849</v>
      </c>
      <c r="D70" s="25"/>
      <c r="E70" s="74">
        <f>+SUMIFS(Income!D64:K64,Income!D$5:K$5,FALSE)</f>
        <v>72836.536103507126</v>
      </c>
      <c r="F70" s="74" t="str">
        <f ca="1">+Investments!P65</f>
        <v>EXPIRED</v>
      </c>
      <c r="G70" s="74" t="e">
        <f t="shared" ca="1" si="134"/>
        <v>#VALUE!</v>
      </c>
      <c r="H70" s="5">
        <f>+SUMIFS(Income!D64:K64,Income!D$5:K$5,TRUE)</f>
        <v>0</v>
      </c>
      <c r="I70" s="5" t="str">
        <f ca="1">+Investments!Q65</f>
        <v>EXPIRED</v>
      </c>
      <c r="J70" s="5">
        <f ca="1">+RealEstate!G59</f>
        <v>0</v>
      </c>
      <c r="K70" s="5">
        <f t="shared" ca="1" si="135"/>
        <v>0</v>
      </c>
      <c r="L70" s="5">
        <f t="shared" ca="1" si="136"/>
        <v>0</v>
      </c>
      <c r="M70" s="25"/>
      <c r="N70" s="77" t="str">
        <f ca="1">+Investments!N65</f>
        <v>EXPIRED</v>
      </c>
      <c r="O70" s="77">
        <f t="shared" ca="1" si="191"/>
        <v>0</v>
      </c>
      <c r="P70" s="25"/>
      <c r="Q70" s="32" t="e">
        <f t="shared" ca="1" si="41"/>
        <v>#VALUE!</v>
      </c>
      <c r="R70" s="32" t="e">
        <f t="shared" ca="1" si="137"/>
        <v>#VALUE!</v>
      </c>
      <c r="S70" s="32" t="e">
        <f ca="1">+AQ70+RealEstate!H59</f>
        <v>#VALUE!</v>
      </c>
      <c r="T70" s="32">
        <f ca="1">+RealEstate!I59</f>
        <v>0</v>
      </c>
      <c r="U70" s="32" t="e">
        <f t="shared" ca="1" si="138"/>
        <v>#VALUE!</v>
      </c>
      <c r="V70" s="32" t="e">
        <f t="shared" ca="1" si="36"/>
        <v>#VALUE!</v>
      </c>
      <c r="W70" s="32">
        <f t="shared" ca="1" si="139"/>
        <v>0</v>
      </c>
      <c r="Z70" s="25"/>
      <c r="AA70" s="90" t="e">
        <f t="shared" ca="1" si="57"/>
        <v>#VALUE!</v>
      </c>
      <c r="AB70" s="25"/>
      <c r="AC70" s="2" t="e">
        <f t="shared" ca="1" si="140"/>
        <v>#VALUE!</v>
      </c>
      <c r="AD70" s="2" t="e">
        <f t="shared" ref="AD70:AL70" ca="1" si="223">MAX(0,MIN($V70,AD$11*$C70)-AC$11*$C70)*AC$10</f>
        <v>#VALUE!</v>
      </c>
      <c r="AE70" s="2" t="e">
        <f t="shared" ca="1" si="223"/>
        <v>#VALUE!</v>
      </c>
      <c r="AF70" s="2" t="e">
        <f t="shared" ca="1" si="223"/>
        <v>#VALUE!</v>
      </c>
      <c r="AG70" s="2" t="e">
        <f t="shared" ca="1" si="223"/>
        <v>#VALUE!</v>
      </c>
      <c r="AH70" s="2" t="e">
        <f t="shared" ca="1" si="223"/>
        <v>#VALUE!</v>
      </c>
      <c r="AI70" s="2" t="e">
        <f t="shared" ca="1" si="223"/>
        <v>#VALUE!</v>
      </c>
      <c r="AJ70" s="2" t="e">
        <f t="shared" ca="1" si="223"/>
        <v>#VALUE!</v>
      </c>
      <c r="AK70" s="2" t="e">
        <f t="shared" ca="1" si="223"/>
        <v>#VALUE!</v>
      </c>
      <c r="AL70" s="2" t="e">
        <f t="shared" ca="1" si="223"/>
        <v>#VALUE!</v>
      </c>
      <c r="AM70" s="25"/>
      <c r="AN70" s="2" t="e">
        <f t="shared" ca="1" si="142"/>
        <v>#VALUE!</v>
      </c>
      <c r="AO70" s="2" t="e">
        <f t="shared" ca="1" si="143"/>
        <v>#VALUE!</v>
      </c>
      <c r="AP70" s="25"/>
      <c r="AQ70" s="2" t="e">
        <f t="shared" ca="1" si="144"/>
        <v>#VALUE!</v>
      </c>
      <c r="AR70" s="2" t="e">
        <f t="shared" ref="AR70:AZ70" ca="1" si="224">MAX(0,MIN($R70,AR$11*$C70)-AQ$11*$C70)*AQ$10</f>
        <v>#VALUE!</v>
      </c>
      <c r="AS70" s="2" t="e">
        <f t="shared" ca="1" si="224"/>
        <v>#VALUE!</v>
      </c>
      <c r="AT70" s="2" t="e">
        <f t="shared" ca="1" si="224"/>
        <v>#VALUE!</v>
      </c>
      <c r="AU70" s="2" t="e">
        <f t="shared" ca="1" si="224"/>
        <v>#VALUE!</v>
      </c>
      <c r="AV70" s="2" t="e">
        <f t="shared" ca="1" si="224"/>
        <v>#VALUE!</v>
      </c>
      <c r="AW70" s="2" t="e">
        <f t="shared" ca="1" si="224"/>
        <v>#VALUE!</v>
      </c>
      <c r="AX70" s="2" t="e">
        <f t="shared" ca="1" si="224"/>
        <v>#VALUE!</v>
      </c>
      <c r="AY70" s="2" t="e">
        <f t="shared" ca="1" si="224"/>
        <v>#VALUE!</v>
      </c>
      <c r="AZ70" s="2" t="e">
        <f t="shared" ca="1" si="224"/>
        <v>#VALUE!</v>
      </c>
      <c r="BA70" s="25"/>
      <c r="BB70" s="2">
        <f t="shared" ca="1" si="146"/>
        <v>0</v>
      </c>
      <c r="BC70" s="2">
        <f t="shared" ref="BC70:BK70" ca="1" si="225">MAX(0,MIN($W70,BC$11*$C70)-BB$11*$C70)*BB$10</f>
        <v>0</v>
      </c>
      <c r="BD70" s="2">
        <f t="shared" ca="1" si="225"/>
        <v>0</v>
      </c>
      <c r="BE70" s="2">
        <f t="shared" ca="1" si="225"/>
        <v>0</v>
      </c>
      <c r="BF70" s="2">
        <f t="shared" ca="1" si="225"/>
        <v>0</v>
      </c>
      <c r="BG70" s="2">
        <f t="shared" ca="1" si="225"/>
        <v>0</v>
      </c>
      <c r="BH70" s="2">
        <f t="shared" ca="1" si="225"/>
        <v>0</v>
      </c>
      <c r="BI70" s="2">
        <f t="shared" ca="1" si="225"/>
        <v>0</v>
      </c>
      <c r="BJ70" s="2">
        <f t="shared" ca="1" si="225"/>
        <v>0</v>
      </c>
      <c r="BK70" s="2">
        <f t="shared" ca="1" si="225"/>
        <v>0</v>
      </c>
      <c r="BL70" s="25"/>
      <c r="BM70" s="145" t="e">
        <f t="shared" ca="1" si="148"/>
        <v>#VALUE!</v>
      </c>
      <c r="BN70" s="145" t="e">
        <f t="shared" ca="1" si="149"/>
        <v>#VALUE!</v>
      </c>
      <c r="BO70" s="145" t="e">
        <f t="shared" ca="1" si="150"/>
        <v>#VALUE!</v>
      </c>
      <c r="BP70" s="145" t="e">
        <f t="shared" ca="1" si="151"/>
        <v>#VALUE!</v>
      </c>
      <c r="BQ70" s="145">
        <f t="shared" ca="1" si="152"/>
        <v>0</v>
      </c>
      <c r="BR70" s="145" t="e">
        <f t="shared" ca="1" si="40"/>
        <v>#VALUE!</v>
      </c>
      <c r="BS70" s="145" t="e">
        <f t="shared" ca="1" si="153"/>
        <v>#VALUE!</v>
      </c>
      <c r="BT70" s="145" t="e">
        <f t="shared" ca="1" si="154"/>
        <v>#VALUE!</v>
      </c>
      <c r="BU70" s="145" t="e">
        <f t="shared" ca="1" si="155"/>
        <v>#VALUE!</v>
      </c>
      <c r="BV70" s="145" t="e">
        <f t="shared" ca="1" si="156"/>
        <v>#VALUE!</v>
      </c>
      <c r="BW70" s="146" t="e">
        <f t="shared" ca="1" si="157"/>
        <v>#VALUE!</v>
      </c>
      <c r="BX70" s="146" t="e">
        <f t="shared" ca="1" si="158"/>
        <v>#VALUE!</v>
      </c>
      <c r="BY70" s="146" t="e">
        <f t="shared" ca="1" si="159"/>
        <v>#VALUE!</v>
      </c>
    </row>
    <row r="71" spans="1:77" x14ac:dyDescent="0.25">
      <c r="A71" s="14">
        <f t="shared" si="210"/>
        <v>55</v>
      </c>
      <c r="B71" s="14">
        <f t="shared" si="210"/>
        <v>95</v>
      </c>
      <c r="C71" s="38">
        <f t="shared" si="4"/>
        <v>2.9717306730230897</v>
      </c>
      <c r="D71" s="25"/>
      <c r="E71" s="74">
        <f>+SUMIFS(Income!D65:K65,Income!D$5:K$5,FALSE)</f>
        <v>74293.266825577244</v>
      </c>
      <c r="F71" s="74" t="str">
        <f ca="1">+Investments!P66</f>
        <v>EXPIRED</v>
      </c>
      <c r="G71" s="74" t="e">
        <f t="shared" ca="1" si="134"/>
        <v>#VALUE!</v>
      </c>
      <c r="H71" s="5">
        <f>+SUMIFS(Income!D65:K65,Income!D$5:K$5,TRUE)</f>
        <v>0</v>
      </c>
      <c r="I71" s="5" t="str">
        <f ca="1">+Investments!Q66</f>
        <v>EXPIRED</v>
      </c>
      <c r="J71" s="5">
        <f ca="1">+RealEstate!G60</f>
        <v>0</v>
      </c>
      <c r="K71" s="5">
        <f t="shared" ca="1" si="135"/>
        <v>0</v>
      </c>
      <c r="L71" s="5">
        <f t="shared" ca="1" si="136"/>
        <v>0</v>
      </c>
      <c r="M71" s="25"/>
      <c r="N71" s="77" t="str">
        <f ca="1">+Investments!N66</f>
        <v>EXPIRED</v>
      </c>
      <c r="O71" s="77">
        <f t="shared" ca="1" si="191"/>
        <v>0</v>
      </c>
      <c r="P71" s="25"/>
      <c r="Q71" s="32" t="e">
        <f t="shared" ca="1" si="41"/>
        <v>#VALUE!</v>
      </c>
      <c r="R71" s="32" t="e">
        <f t="shared" ca="1" si="137"/>
        <v>#VALUE!</v>
      </c>
      <c r="S71" s="32" t="e">
        <f ca="1">+AQ71+RealEstate!H60</f>
        <v>#VALUE!</v>
      </c>
      <c r="T71" s="32">
        <f ca="1">+RealEstate!I60</f>
        <v>0</v>
      </c>
      <c r="U71" s="32" t="e">
        <f t="shared" ca="1" si="138"/>
        <v>#VALUE!</v>
      </c>
      <c r="V71" s="32" t="e">
        <f t="shared" ca="1" si="36"/>
        <v>#VALUE!</v>
      </c>
      <c r="W71" s="32">
        <f t="shared" ca="1" si="139"/>
        <v>0</v>
      </c>
      <c r="Z71" s="25"/>
      <c r="AA71" s="90" t="e">
        <f t="shared" ca="1" si="57"/>
        <v>#VALUE!</v>
      </c>
      <c r="AB71" s="25"/>
      <c r="AC71" s="2" t="e">
        <f t="shared" ca="1" si="140"/>
        <v>#VALUE!</v>
      </c>
      <c r="AD71" s="2" t="e">
        <f t="shared" ref="AD71:AL71" ca="1" si="226">MAX(0,MIN($V71,AD$11*$C71)-AC$11*$C71)*AC$10</f>
        <v>#VALUE!</v>
      </c>
      <c r="AE71" s="2" t="e">
        <f t="shared" ca="1" si="226"/>
        <v>#VALUE!</v>
      </c>
      <c r="AF71" s="2" t="e">
        <f t="shared" ca="1" si="226"/>
        <v>#VALUE!</v>
      </c>
      <c r="AG71" s="2" t="e">
        <f t="shared" ca="1" si="226"/>
        <v>#VALUE!</v>
      </c>
      <c r="AH71" s="2" t="e">
        <f t="shared" ca="1" si="226"/>
        <v>#VALUE!</v>
      </c>
      <c r="AI71" s="2" t="e">
        <f t="shared" ca="1" si="226"/>
        <v>#VALUE!</v>
      </c>
      <c r="AJ71" s="2" t="e">
        <f t="shared" ca="1" si="226"/>
        <v>#VALUE!</v>
      </c>
      <c r="AK71" s="2" t="e">
        <f t="shared" ca="1" si="226"/>
        <v>#VALUE!</v>
      </c>
      <c r="AL71" s="2" t="e">
        <f t="shared" ca="1" si="226"/>
        <v>#VALUE!</v>
      </c>
      <c r="AM71" s="25"/>
      <c r="AN71" s="2" t="e">
        <f t="shared" ca="1" si="142"/>
        <v>#VALUE!</v>
      </c>
      <c r="AO71" s="2" t="e">
        <f t="shared" ca="1" si="143"/>
        <v>#VALUE!</v>
      </c>
      <c r="AP71" s="25"/>
      <c r="AQ71" s="2" t="e">
        <f t="shared" ca="1" si="144"/>
        <v>#VALUE!</v>
      </c>
      <c r="AR71" s="2" t="e">
        <f t="shared" ref="AR71:AZ71" ca="1" si="227">MAX(0,MIN($R71,AR$11*$C71)-AQ$11*$C71)*AQ$10</f>
        <v>#VALUE!</v>
      </c>
      <c r="AS71" s="2" t="e">
        <f t="shared" ca="1" si="227"/>
        <v>#VALUE!</v>
      </c>
      <c r="AT71" s="2" t="e">
        <f t="shared" ca="1" si="227"/>
        <v>#VALUE!</v>
      </c>
      <c r="AU71" s="2" t="e">
        <f t="shared" ca="1" si="227"/>
        <v>#VALUE!</v>
      </c>
      <c r="AV71" s="2" t="e">
        <f t="shared" ca="1" si="227"/>
        <v>#VALUE!</v>
      </c>
      <c r="AW71" s="2" t="e">
        <f t="shared" ca="1" si="227"/>
        <v>#VALUE!</v>
      </c>
      <c r="AX71" s="2" t="e">
        <f t="shared" ca="1" si="227"/>
        <v>#VALUE!</v>
      </c>
      <c r="AY71" s="2" t="e">
        <f t="shared" ca="1" si="227"/>
        <v>#VALUE!</v>
      </c>
      <c r="AZ71" s="2" t="e">
        <f t="shared" ca="1" si="227"/>
        <v>#VALUE!</v>
      </c>
      <c r="BA71" s="25"/>
      <c r="BB71" s="2">
        <f t="shared" ca="1" si="146"/>
        <v>0</v>
      </c>
      <c r="BC71" s="2">
        <f t="shared" ref="BC71:BK71" ca="1" si="228">MAX(0,MIN($W71,BC$11*$C71)-BB$11*$C71)*BB$10</f>
        <v>0</v>
      </c>
      <c r="BD71" s="2">
        <f t="shared" ca="1" si="228"/>
        <v>0</v>
      </c>
      <c r="BE71" s="2">
        <f t="shared" ca="1" si="228"/>
        <v>0</v>
      </c>
      <c r="BF71" s="2">
        <f t="shared" ca="1" si="228"/>
        <v>0</v>
      </c>
      <c r="BG71" s="2">
        <f t="shared" ca="1" si="228"/>
        <v>0</v>
      </c>
      <c r="BH71" s="2">
        <f t="shared" ca="1" si="228"/>
        <v>0</v>
      </c>
      <c r="BI71" s="2">
        <f t="shared" ca="1" si="228"/>
        <v>0</v>
      </c>
      <c r="BJ71" s="2">
        <f t="shared" ca="1" si="228"/>
        <v>0</v>
      </c>
      <c r="BK71" s="2">
        <f t="shared" ca="1" si="228"/>
        <v>0</v>
      </c>
      <c r="BL71" s="25"/>
      <c r="BM71" s="145" t="e">
        <f t="shared" ca="1" si="148"/>
        <v>#VALUE!</v>
      </c>
      <c r="BN71" s="145" t="e">
        <f t="shared" ca="1" si="149"/>
        <v>#VALUE!</v>
      </c>
      <c r="BO71" s="145" t="e">
        <f t="shared" ca="1" si="150"/>
        <v>#VALUE!</v>
      </c>
      <c r="BP71" s="145" t="e">
        <f t="shared" ca="1" si="151"/>
        <v>#VALUE!</v>
      </c>
      <c r="BQ71" s="145">
        <f t="shared" ca="1" si="152"/>
        <v>0</v>
      </c>
      <c r="BR71" s="145" t="e">
        <f t="shared" ca="1" si="40"/>
        <v>#VALUE!</v>
      </c>
      <c r="BS71" s="145" t="e">
        <f t="shared" ca="1" si="153"/>
        <v>#VALUE!</v>
      </c>
      <c r="BT71" s="145" t="e">
        <f t="shared" ca="1" si="154"/>
        <v>#VALUE!</v>
      </c>
      <c r="BU71" s="145" t="e">
        <f t="shared" ca="1" si="155"/>
        <v>#VALUE!</v>
      </c>
      <c r="BV71" s="145" t="e">
        <f t="shared" ca="1" si="156"/>
        <v>#VALUE!</v>
      </c>
      <c r="BW71" s="146" t="e">
        <f t="shared" ca="1" si="157"/>
        <v>#VALUE!</v>
      </c>
      <c r="BX71" s="146" t="e">
        <f t="shared" ca="1" si="158"/>
        <v>#VALUE!</v>
      </c>
      <c r="BY71" s="146" t="e">
        <f t="shared" ca="1" si="159"/>
        <v>#VALUE!</v>
      </c>
    </row>
    <row r="72" spans="1:77" x14ac:dyDescent="0.25">
      <c r="A72" s="14">
        <f t="shared" si="210"/>
        <v>56</v>
      </c>
      <c r="B72" s="14">
        <f t="shared" si="210"/>
        <v>96</v>
      </c>
      <c r="C72" s="38">
        <f t="shared" si="4"/>
        <v>3.0311652864835517</v>
      </c>
      <c r="D72" s="25"/>
      <c r="E72" s="74">
        <f>+SUMIFS(Income!D66:K66,Income!D$5:K$5,FALSE)</f>
        <v>75779.13216208879</v>
      </c>
      <c r="F72" s="74" t="str">
        <f ca="1">+Investments!P67</f>
        <v>EXPIRED</v>
      </c>
      <c r="G72" s="74" t="e">
        <f t="shared" ca="1" si="134"/>
        <v>#VALUE!</v>
      </c>
      <c r="H72" s="5">
        <f>+SUMIFS(Income!D66:K66,Income!D$5:K$5,TRUE)</f>
        <v>0</v>
      </c>
      <c r="I72" s="5" t="str">
        <f ca="1">+Investments!Q67</f>
        <v>EXPIRED</v>
      </c>
      <c r="J72" s="5">
        <f ca="1">+RealEstate!G61</f>
        <v>0</v>
      </c>
      <c r="K72" s="5">
        <f t="shared" ca="1" si="135"/>
        <v>0</v>
      </c>
      <c r="L72" s="5">
        <f t="shared" ca="1" si="136"/>
        <v>0</v>
      </c>
      <c r="M72" s="25"/>
      <c r="N72" s="77" t="str">
        <f ca="1">+Investments!N67</f>
        <v>EXPIRED</v>
      </c>
      <c r="O72" s="77">
        <f t="shared" ca="1" si="191"/>
        <v>0</v>
      </c>
      <c r="P72" s="25"/>
      <c r="Q72" s="32" t="e">
        <f t="shared" ca="1" si="41"/>
        <v>#VALUE!</v>
      </c>
      <c r="R72" s="32" t="e">
        <f t="shared" ca="1" si="137"/>
        <v>#VALUE!</v>
      </c>
      <c r="S72" s="32" t="e">
        <f ca="1">+AQ72+RealEstate!H61</f>
        <v>#VALUE!</v>
      </c>
      <c r="T72" s="32">
        <f ca="1">+RealEstate!I61</f>
        <v>0</v>
      </c>
      <c r="U72" s="32" t="e">
        <f t="shared" ca="1" si="138"/>
        <v>#VALUE!</v>
      </c>
      <c r="V72" s="32" t="e">
        <f t="shared" ca="1" si="36"/>
        <v>#VALUE!</v>
      </c>
      <c r="W72" s="32">
        <f t="shared" ca="1" si="139"/>
        <v>0</v>
      </c>
      <c r="Z72" s="25"/>
      <c r="AA72" s="90" t="e">
        <f t="shared" ca="1" si="57"/>
        <v>#VALUE!</v>
      </c>
      <c r="AB72" s="25"/>
      <c r="AC72" s="2" t="e">
        <f t="shared" ca="1" si="140"/>
        <v>#VALUE!</v>
      </c>
      <c r="AD72" s="2" t="e">
        <f t="shared" ref="AD72:AL72" ca="1" si="229">MAX(0,MIN($V72,AD$11*$C72)-AC$11*$C72)*AC$10</f>
        <v>#VALUE!</v>
      </c>
      <c r="AE72" s="2" t="e">
        <f t="shared" ca="1" si="229"/>
        <v>#VALUE!</v>
      </c>
      <c r="AF72" s="2" t="e">
        <f t="shared" ca="1" si="229"/>
        <v>#VALUE!</v>
      </c>
      <c r="AG72" s="2" t="e">
        <f t="shared" ca="1" si="229"/>
        <v>#VALUE!</v>
      </c>
      <c r="AH72" s="2" t="e">
        <f t="shared" ca="1" si="229"/>
        <v>#VALUE!</v>
      </c>
      <c r="AI72" s="2" t="e">
        <f t="shared" ca="1" si="229"/>
        <v>#VALUE!</v>
      </c>
      <c r="AJ72" s="2" t="e">
        <f t="shared" ca="1" si="229"/>
        <v>#VALUE!</v>
      </c>
      <c r="AK72" s="2" t="e">
        <f t="shared" ca="1" si="229"/>
        <v>#VALUE!</v>
      </c>
      <c r="AL72" s="2" t="e">
        <f t="shared" ca="1" si="229"/>
        <v>#VALUE!</v>
      </c>
      <c r="AM72" s="25"/>
      <c r="AN72" s="2" t="e">
        <f t="shared" ca="1" si="142"/>
        <v>#VALUE!</v>
      </c>
      <c r="AO72" s="2" t="e">
        <f t="shared" ca="1" si="143"/>
        <v>#VALUE!</v>
      </c>
      <c r="AP72" s="25"/>
      <c r="AQ72" s="2" t="e">
        <f t="shared" ca="1" si="144"/>
        <v>#VALUE!</v>
      </c>
      <c r="AR72" s="2" t="e">
        <f t="shared" ref="AR72:AZ72" ca="1" si="230">MAX(0,MIN($R72,AR$11*$C72)-AQ$11*$C72)*AQ$10</f>
        <v>#VALUE!</v>
      </c>
      <c r="AS72" s="2" t="e">
        <f t="shared" ca="1" si="230"/>
        <v>#VALUE!</v>
      </c>
      <c r="AT72" s="2" t="e">
        <f t="shared" ca="1" si="230"/>
        <v>#VALUE!</v>
      </c>
      <c r="AU72" s="2" t="e">
        <f t="shared" ca="1" si="230"/>
        <v>#VALUE!</v>
      </c>
      <c r="AV72" s="2" t="e">
        <f t="shared" ca="1" si="230"/>
        <v>#VALUE!</v>
      </c>
      <c r="AW72" s="2" t="e">
        <f t="shared" ca="1" si="230"/>
        <v>#VALUE!</v>
      </c>
      <c r="AX72" s="2" t="e">
        <f t="shared" ca="1" si="230"/>
        <v>#VALUE!</v>
      </c>
      <c r="AY72" s="2" t="e">
        <f t="shared" ca="1" si="230"/>
        <v>#VALUE!</v>
      </c>
      <c r="AZ72" s="2" t="e">
        <f t="shared" ca="1" si="230"/>
        <v>#VALUE!</v>
      </c>
      <c r="BA72" s="25"/>
      <c r="BB72" s="2">
        <f t="shared" ca="1" si="146"/>
        <v>0</v>
      </c>
      <c r="BC72" s="2">
        <f t="shared" ref="BC72:BK72" ca="1" si="231">MAX(0,MIN($W72,BC$11*$C72)-BB$11*$C72)*BB$10</f>
        <v>0</v>
      </c>
      <c r="BD72" s="2">
        <f t="shared" ca="1" si="231"/>
        <v>0</v>
      </c>
      <c r="BE72" s="2">
        <f t="shared" ca="1" si="231"/>
        <v>0</v>
      </c>
      <c r="BF72" s="2">
        <f t="shared" ca="1" si="231"/>
        <v>0</v>
      </c>
      <c r="BG72" s="2">
        <f t="shared" ca="1" si="231"/>
        <v>0</v>
      </c>
      <c r="BH72" s="2">
        <f t="shared" ca="1" si="231"/>
        <v>0</v>
      </c>
      <c r="BI72" s="2">
        <f t="shared" ca="1" si="231"/>
        <v>0</v>
      </c>
      <c r="BJ72" s="2">
        <f t="shared" ca="1" si="231"/>
        <v>0</v>
      </c>
      <c r="BK72" s="2">
        <f t="shared" ca="1" si="231"/>
        <v>0</v>
      </c>
      <c r="BL72" s="25"/>
      <c r="BM72" s="145" t="e">
        <f t="shared" ca="1" si="148"/>
        <v>#VALUE!</v>
      </c>
      <c r="BN72" s="145" t="e">
        <f t="shared" ca="1" si="149"/>
        <v>#VALUE!</v>
      </c>
      <c r="BO72" s="145" t="e">
        <f t="shared" ca="1" si="150"/>
        <v>#VALUE!</v>
      </c>
      <c r="BP72" s="145" t="e">
        <f t="shared" ca="1" si="151"/>
        <v>#VALUE!</v>
      </c>
      <c r="BQ72" s="145">
        <f t="shared" ca="1" si="152"/>
        <v>0</v>
      </c>
      <c r="BR72" s="145" t="e">
        <f t="shared" ca="1" si="40"/>
        <v>#VALUE!</v>
      </c>
      <c r="BS72" s="145" t="e">
        <f t="shared" ca="1" si="153"/>
        <v>#VALUE!</v>
      </c>
      <c r="BT72" s="145" t="e">
        <f t="shared" ca="1" si="154"/>
        <v>#VALUE!</v>
      </c>
      <c r="BU72" s="145" t="e">
        <f t="shared" ca="1" si="155"/>
        <v>#VALUE!</v>
      </c>
      <c r="BV72" s="145" t="e">
        <f t="shared" ca="1" si="156"/>
        <v>#VALUE!</v>
      </c>
      <c r="BW72" s="146" t="e">
        <f t="shared" ca="1" si="157"/>
        <v>#VALUE!</v>
      </c>
      <c r="BX72" s="146" t="e">
        <f t="shared" ca="1" si="158"/>
        <v>#VALUE!</v>
      </c>
      <c r="BY72" s="146" t="e">
        <f t="shared" ca="1" si="159"/>
        <v>#VALUE!</v>
      </c>
    </row>
    <row r="73" spans="1:77" x14ac:dyDescent="0.25">
      <c r="A73" s="14">
        <f t="shared" si="210"/>
        <v>57</v>
      </c>
      <c r="B73" s="14">
        <f t="shared" si="210"/>
        <v>97</v>
      </c>
      <c r="C73" s="38">
        <f t="shared" si="4"/>
        <v>3.0917885922132227</v>
      </c>
      <c r="D73" s="25"/>
      <c r="E73" s="74">
        <f>+SUMIFS(Income!D67:K67,Income!D$5:K$5,FALSE)</f>
        <v>77294.714805330572</v>
      </c>
      <c r="F73" s="74" t="str">
        <f ca="1">+Investments!P68</f>
        <v>EXPIRED</v>
      </c>
      <c r="G73" s="74" t="e">
        <f t="shared" ca="1" si="134"/>
        <v>#VALUE!</v>
      </c>
      <c r="H73" s="5">
        <f>+SUMIFS(Income!D67:K67,Income!D$5:K$5,TRUE)</f>
        <v>0</v>
      </c>
      <c r="I73" s="5" t="str">
        <f ca="1">+Investments!Q68</f>
        <v>EXPIRED</v>
      </c>
      <c r="J73" s="5">
        <f ca="1">+RealEstate!G62</f>
        <v>0</v>
      </c>
      <c r="K73" s="5">
        <f t="shared" ca="1" si="135"/>
        <v>0</v>
      </c>
      <c r="L73" s="5">
        <f t="shared" ca="1" si="136"/>
        <v>0</v>
      </c>
      <c r="M73" s="25"/>
      <c r="N73" s="77" t="str">
        <f ca="1">+Investments!N68</f>
        <v>EXPIRED</v>
      </c>
      <c r="O73" s="77">
        <f t="shared" ca="1" si="191"/>
        <v>0</v>
      </c>
      <c r="P73" s="25"/>
      <c r="Q73" s="32" t="e">
        <f t="shared" ca="1" si="41"/>
        <v>#VALUE!</v>
      </c>
      <c r="R73" s="32" t="e">
        <f t="shared" ca="1" si="137"/>
        <v>#VALUE!</v>
      </c>
      <c r="S73" s="32" t="e">
        <f ca="1">+AQ73+RealEstate!H62</f>
        <v>#VALUE!</v>
      </c>
      <c r="T73" s="32">
        <f ca="1">+RealEstate!I62</f>
        <v>0</v>
      </c>
      <c r="U73" s="32" t="e">
        <f t="shared" ca="1" si="138"/>
        <v>#VALUE!</v>
      </c>
      <c r="V73" s="32" t="e">
        <f t="shared" ca="1" si="36"/>
        <v>#VALUE!</v>
      </c>
      <c r="W73" s="32">
        <f t="shared" ca="1" si="139"/>
        <v>0</v>
      </c>
      <c r="Z73" s="25"/>
      <c r="AA73" s="90" t="e">
        <f t="shared" ca="1" si="57"/>
        <v>#VALUE!</v>
      </c>
      <c r="AB73" s="25"/>
      <c r="AC73" s="2" t="e">
        <f t="shared" ca="1" si="140"/>
        <v>#VALUE!</v>
      </c>
      <c r="AD73" s="2" t="e">
        <f t="shared" ref="AD73:AL73" ca="1" si="232">MAX(0,MIN($V73,AD$11*$C73)-AC$11*$C73)*AC$10</f>
        <v>#VALUE!</v>
      </c>
      <c r="AE73" s="2" t="e">
        <f t="shared" ca="1" si="232"/>
        <v>#VALUE!</v>
      </c>
      <c r="AF73" s="2" t="e">
        <f t="shared" ca="1" si="232"/>
        <v>#VALUE!</v>
      </c>
      <c r="AG73" s="2" t="e">
        <f t="shared" ca="1" si="232"/>
        <v>#VALUE!</v>
      </c>
      <c r="AH73" s="2" t="e">
        <f t="shared" ca="1" si="232"/>
        <v>#VALUE!</v>
      </c>
      <c r="AI73" s="2" t="e">
        <f t="shared" ca="1" si="232"/>
        <v>#VALUE!</v>
      </c>
      <c r="AJ73" s="2" t="e">
        <f t="shared" ca="1" si="232"/>
        <v>#VALUE!</v>
      </c>
      <c r="AK73" s="2" t="e">
        <f t="shared" ca="1" si="232"/>
        <v>#VALUE!</v>
      </c>
      <c r="AL73" s="2" t="e">
        <f t="shared" ca="1" si="232"/>
        <v>#VALUE!</v>
      </c>
      <c r="AM73" s="25"/>
      <c r="AN73" s="2" t="e">
        <f t="shared" ca="1" si="142"/>
        <v>#VALUE!</v>
      </c>
      <c r="AO73" s="2" t="e">
        <f t="shared" ca="1" si="143"/>
        <v>#VALUE!</v>
      </c>
      <c r="AP73" s="25"/>
      <c r="AQ73" s="2" t="e">
        <f t="shared" ca="1" si="144"/>
        <v>#VALUE!</v>
      </c>
      <c r="AR73" s="2" t="e">
        <f t="shared" ref="AR73:AZ73" ca="1" si="233">MAX(0,MIN($R73,AR$11*$C73)-AQ$11*$C73)*AQ$10</f>
        <v>#VALUE!</v>
      </c>
      <c r="AS73" s="2" t="e">
        <f t="shared" ca="1" si="233"/>
        <v>#VALUE!</v>
      </c>
      <c r="AT73" s="2" t="e">
        <f t="shared" ca="1" si="233"/>
        <v>#VALUE!</v>
      </c>
      <c r="AU73" s="2" t="e">
        <f t="shared" ca="1" si="233"/>
        <v>#VALUE!</v>
      </c>
      <c r="AV73" s="2" t="e">
        <f t="shared" ca="1" si="233"/>
        <v>#VALUE!</v>
      </c>
      <c r="AW73" s="2" t="e">
        <f t="shared" ca="1" si="233"/>
        <v>#VALUE!</v>
      </c>
      <c r="AX73" s="2" t="e">
        <f t="shared" ca="1" si="233"/>
        <v>#VALUE!</v>
      </c>
      <c r="AY73" s="2" t="e">
        <f t="shared" ca="1" si="233"/>
        <v>#VALUE!</v>
      </c>
      <c r="AZ73" s="2" t="e">
        <f t="shared" ca="1" si="233"/>
        <v>#VALUE!</v>
      </c>
      <c r="BA73" s="25"/>
      <c r="BB73" s="2">
        <f t="shared" ca="1" si="146"/>
        <v>0</v>
      </c>
      <c r="BC73" s="2">
        <f t="shared" ref="BC73:BK73" ca="1" si="234">MAX(0,MIN($W73,BC$11*$C73)-BB$11*$C73)*BB$10</f>
        <v>0</v>
      </c>
      <c r="BD73" s="2">
        <f t="shared" ca="1" si="234"/>
        <v>0</v>
      </c>
      <c r="BE73" s="2">
        <f t="shared" ca="1" si="234"/>
        <v>0</v>
      </c>
      <c r="BF73" s="2">
        <f t="shared" ca="1" si="234"/>
        <v>0</v>
      </c>
      <c r="BG73" s="2">
        <f t="shared" ca="1" si="234"/>
        <v>0</v>
      </c>
      <c r="BH73" s="2">
        <f t="shared" ca="1" si="234"/>
        <v>0</v>
      </c>
      <c r="BI73" s="2">
        <f t="shared" ca="1" si="234"/>
        <v>0</v>
      </c>
      <c r="BJ73" s="2">
        <f t="shared" ca="1" si="234"/>
        <v>0</v>
      </c>
      <c r="BK73" s="2">
        <f t="shared" ca="1" si="234"/>
        <v>0</v>
      </c>
      <c r="BL73" s="25"/>
      <c r="BM73" s="145" t="e">
        <f t="shared" ca="1" si="148"/>
        <v>#VALUE!</v>
      </c>
      <c r="BN73" s="145" t="e">
        <f t="shared" ca="1" si="149"/>
        <v>#VALUE!</v>
      </c>
      <c r="BO73" s="145" t="e">
        <f t="shared" ca="1" si="150"/>
        <v>#VALUE!</v>
      </c>
      <c r="BP73" s="145" t="e">
        <f t="shared" ca="1" si="151"/>
        <v>#VALUE!</v>
      </c>
      <c r="BQ73" s="145">
        <f t="shared" ca="1" si="152"/>
        <v>0</v>
      </c>
      <c r="BR73" s="145" t="e">
        <f t="shared" ca="1" si="40"/>
        <v>#VALUE!</v>
      </c>
      <c r="BS73" s="145" t="e">
        <f t="shared" ca="1" si="153"/>
        <v>#VALUE!</v>
      </c>
      <c r="BT73" s="145" t="e">
        <f t="shared" ca="1" si="154"/>
        <v>#VALUE!</v>
      </c>
      <c r="BU73" s="145" t="e">
        <f t="shared" ca="1" si="155"/>
        <v>#VALUE!</v>
      </c>
      <c r="BV73" s="145" t="e">
        <f t="shared" ca="1" si="156"/>
        <v>#VALUE!</v>
      </c>
      <c r="BW73" s="146" t="e">
        <f t="shared" ca="1" si="157"/>
        <v>#VALUE!</v>
      </c>
      <c r="BX73" s="146" t="e">
        <f t="shared" ca="1" si="158"/>
        <v>#VALUE!</v>
      </c>
      <c r="BY73" s="146" t="e">
        <f t="shared" ca="1" si="159"/>
        <v>#VALUE!</v>
      </c>
    </row>
    <row r="74" spans="1:77" x14ac:dyDescent="0.25">
      <c r="A74" s="14">
        <f t="shared" si="210"/>
        <v>58</v>
      </c>
      <c r="B74" s="14">
        <f t="shared" si="210"/>
        <v>98</v>
      </c>
      <c r="C74" s="38">
        <f t="shared" si="4"/>
        <v>3.1536243640574875</v>
      </c>
      <c r="D74" s="25"/>
      <c r="E74" s="74">
        <f>+SUMIFS(Income!D68:K68,Income!D$5:K$5,FALSE)</f>
        <v>78840.609101437192</v>
      </c>
      <c r="F74" s="74" t="str">
        <f ca="1">+Investments!P69</f>
        <v>EXPIRED</v>
      </c>
      <c r="G74" s="74" t="e">
        <f t="shared" ca="1" si="134"/>
        <v>#VALUE!</v>
      </c>
      <c r="H74" s="5">
        <f>+SUMIFS(Income!D68:K68,Income!D$5:K$5,TRUE)</f>
        <v>0</v>
      </c>
      <c r="I74" s="5" t="str">
        <f ca="1">+Investments!Q69</f>
        <v>EXPIRED</v>
      </c>
      <c r="J74" s="5">
        <f ca="1">+RealEstate!G63</f>
        <v>0</v>
      </c>
      <c r="K74" s="5">
        <f t="shared" ca="1" si="135"/>
        <v>0</v>
      </c>
      <c r="L74" s="5">
        <f t="shared" ca="1" si="136"/>
        <v>0</v>
      </c>
      <c r="M74" s="25"/>
      <c r="N74" s="77" t="str">
        <f ca="1">+Investments!N69</f>
        <v>EXPIRED</v>
      </c>
      <c r="O74" s="77">
        <f t="shared" ca="1" si="191"/>
        <v>0</v>
      </c>
      <c r="P74" s="25"/>
      <c r="Q74" s="32" t="e">
        <f t="shared" ca="1" si="41"/>
        <v>#VALUE!</v>
      </c>
      <c r="R74" s="32" t="e">
        <f t="shared" ca="1" si="137"/>
        <v>#VALUE!</v>
      </c>
      <c r="S74" s="32" t="e">
        <f ca="1">+AQ74+RealEstate!H63</f>
        <v>#VALUE!</v>
      </c>
      <c r="T74" s="32">
        <f ca="1">+RealEstate!I63</f>
        <v>0</v>
      </c>
      <c r="U74" s="32" t="e">
        <f t="shared" ca="1" si="138"/>
        <v>#VALUE!</v>
      </c>
      <c r="V74" s="32" t="e">
        <f t="shared" ca="1" si="36"/>
        <v>#VALUE!</v>
      </c>
      <c r="W74" s="32">
        <f t="shared" ca="1" si="139"/>
        <v>0</v>
      </c>
      <c r="Z74" s="25"/>
      <c r="AA74" s="90" t="e">
        <f t="shared" ca="1" si="57"/>
        <v>#VALUE!</v>
      </c>
      <c r="AB74" s="25"/>
      <c r="AC74" s="2" t="e">
        <f t="shared" ca="1" si="140"/>
        <v>#VALUE!</v>
      </c>
      <c r="AD74" s="2" t="e">
        <f t="shared" ref="AD74:AL74" ca="1" si="235">MAX(0,MIN($V74,AD$11*$C74)-AC$11*$C74)*AC$10</f>
        <v>#VALUE!</v>
      </c>
      <c r="AE74" s="2" t="e">
        <f t="shared" ca="1" si="235"/>
        <v>#VALUE!</v>
      </c>
      <c r="AF74" s="2" t="e">
        <f t="shared" ca="1" si="235"/>
        <v>#VALUE!</v>
      </c>
      <c r="AG74" s="2" t="e">
        <f t="shared" ca="1" si="235"/>
        <v>#VALUE!</v>
      </c>
      <c r="AH74" s="2" t="e">
        <f t="shared" ca="1" si="235"/>
        <v>#VALUE!</v>
      </c>
      <c r="AI74" s="2" t="e">
        <f t="shared" ca="1" si="235"/>
        <v>#VALUE!</v>
      </c>
      <c r="AJ74" s="2" t="e">
        <f t="shared" ca="1" si="235"/>
        <v>#VALUE!</v>
      </c>
      <c r="AK74" s="2" t="e">
        <f t="shared" ca="1" si="235"/>
        <v>#VALUE!</v>
      </c>
      <c r="AL74" s="2" t="e">
        <f t="shared" ca="1" si="235"/>
        <v>#VALUE!</v>
      </c>
      <c r="AM74" s="25"/>
      <c r="AN74" s="2" t="e">
        <f t="shared" ca="1" si="142"/>
        <v>#VALUE!</v>
      </c>
      <c r="AO74" s="2" t="e">
        <f t="shared" ca="1" si="143"/>
        <v>#VALUE!</v>
      </c>
      <c r="AP74" s="25"/>
      <c r="AQ74" s="2" t="e">
        <f t="shared" ca="1" si="144"/>
        <v>#VALUE!</v>
      </c>
      <c r="AR74" s="2" t="e">
        <f t="shared" ref="AR74:AZ74" ca="1" si="236">MAX(0,MIN($R74,AR$11*$C74)-AQ$11*$C74)*AQ$10</f>
        <v>#VALUE!</v>
      </c>
      <c r="AS74" s="2" t="e">
        <f t="shared" ca="1" si="236"/>
        <v>#VALUE!</v>
      </c>
      <c r="AT74" s="2" t="e">
        <f t="shared" ca="1" si="236"/>
        <v>#VALUE!</v>
      </c>
      <c r="AU74" s="2" t="e">
        <f t="shared" ca="1" si="236"/>
        <v>#VALUE!</v>
      </c>
      <c r="AV74" s="2" t="e">
        <f t="shared" ca="1" si="236"/>
        <v>#VALUE!</v>
      </c>
      <c r="AW74" s="2" t="e">
        <f t="shared" ca="1" si="236"/>
        <v>#VALUE!</v>
      </c>
      <c r="AX74" s="2" t="e">
        <f t="shared" ca="1" si="236"/>
        <v>#VALUE!</v>
      </c>
      <c r="AY74" s="2" t="e">
        <f t="shared" ca="1" si="236"/>
        <v>#VALUE!</v>
      </c>
      <c r="AZ74" s="2" t="e">
        <f t="shared" ca="1" si="236"/>
        <v>#VALUE!</v>
      </c>
      <c r="BA74" s="25"/>
      <c r="BB74" s="2">
        <f t="shared" ca="1" si="146"/>
        <v>0</v>
      </c>
      <c r="BC74" s="2">
        <f t="shared" ref="BC74:BK74" ca="1" si="237">MAX(0,MIN($W74,BC$11*$C74)-BB$11*$C74)*BB$10</f>
        <v>0</v>
      </c>
      <c r="BD74" s="2">
        <f t="shared" ca="1" si="237"/>
        <v>0</v>
      </c>
      <c r="BE74" s="2">
        <f t="shared" ca="1" si="237"/>
        <v>0</v>
      </c>
      <c r="BF74" s="2">
        <f t="shared" ca="1" si="237"/>
        <v>0</v>
      </c>
      <c r="BG74" s="2">
        <f t="shared" ca="1" si="237"/>
        <v>0</v>
      </c>
      <c r="BH74" s="2">
        <f t="shared" ca="1" si="237"/>
        <v>0</v>
      </c>
      <c r="BI74" s="2">
        <f t="shared" ca="1" si="237"/>
        <v>0</v>
      </c>
      <c r="BJ74" s="2">
        <f t="shared" ca="1" si="237"/>
        <v>0</v>
      </c>
      <c r="BK74" s="2">
        <f t="shared" ca="1" si="237"/>
        <v>0</v>
      </c>
      <c r="BL74" s="25"/>
      <c r="BM74" s="145" t="e">
        <f t="shared" ca="1" si="148"/>
        <v>#VALUE!</v>
      </c>
      <c r="BN74" s="145" t="e">
        <f t="shared" ca="1" si="149"/>
        <v>#VALUE!</v>
      </c>
      <c r="BO74" s="145" t="e">
        <f t="shared" ca="1" si="150"/>
        <v>#VALUE!</v>
      </c>
      <c r="BP74" s="145" t="e">
        <f t="shared" ca="1" si="151"/>
        <v>#VALUE!</v>
      </c>
      <c r="BQ74" s="145">
        <f t="shared" ca="1" si="152"/>
        <v>0</v>
      </c>
      <c r="BR74" s="145" t="e">
        <f t="shared" ca="1" si="40"/>
        <v>#VALUE!</v>
      </c>
      <c r="BS74" s="145" t="e">
        <f t="shared" ca="1" si="153"/>
        <v>#VALUE!</v>
      </c>
      <c r="BT74" s="145" t="e">
        <f t="shared" ca="1" si="154"/>
        <v>#VALUE!</v>
      </c>
      <c r="BU74" s="145" t="e">
        <f t="shared" ca="1" si="155"/>
        <v>#VALUE!</v>
      </c>
      <c r="BV74" s="145" t="e">
        <f t="shared" ca="1" si="156"/>
        <v>#VALUE!</v>
      </c>
      <c r="BW74" s="146" t="e">
        <f t="shared" ca="1" si="157"/>
        <v>#VALUE!</v>
      </c>
      <c r="BX74" s="146" t="e">
        <f t="shared" ca="1" si="158"/>
        <v>#VALUE!</v>
      </c>
      <c r="BY74" s="146" t="e">
        <f t="shared" ca="1" si="159"/>
        <v>#VALUE!</v>
      </c>
    </row>
    <row r="75" spans="1:77" x14ac:dyDescent="0.25">
      <c r="A75" s="14">
        <f t="shared" si="210"/>
        <v>59</v>
      </c>
      <c r="B75" s="14">
        <f t="shared" si="210"/>
        <v>99</v>
      </c>
      <c r="C75" s="38">
        <f t="shared" si="4"/>
        <v>3.2166968513386367</v>
      </c>
      <c r="D75" s="25"/>
      <c r="E75" s="74">
        <f>+SUMIFS(Income!D69:K69,Income!D$5:K$5,FALSE)</f>
        <v>80417.421283465912</v>
      </c>
      <c r="F75" s="74" t="str">
        <f ca="1">+Investments!P70</f>
        <v>EXPIRED</v>
      </c>
      <c r="G75" s="74" t="e">
        <f t="shared" ca="1" si="134"/>
        <v>#VALUE!</v>
      </c>
      <c r="H75" s="5">
        <f>+SUMIFS(Income!D69:K69,Income!D$5:K$5,TRUE)</f>
        <v>0</v>
      </c>
      <c r="I75" s="5" t="str">
        <f ca="1">+Investments!Q70</f>
        <v>EXPIRED</v>
      </c>
      <c r="J75" s="5">
        <f ca="1">+RealEstate!G64</f>
        <v>0</v>
      </c>
      <c r="K75" s="5">
        <f t="shared" ca="1" si="135"/>
        <v>0</v>
      </c>
      <c r="L75" s="5">
        <f t="shared" ca="1" si="136"/>
        <v>0</v>
      </c>
      <c r="M75" s="25"/>
      <c r="N75" s="77" t="str">
        <f ca="1">+Investments!N70</f>
        <v>EXPIRED</v>
      </c>
      <c r="O75" s="77">
        <f t="shared" ca="1" si="191"/>
        <v>0</v>
      </c>
      <c r="P75" s="25"/>
      <c r="Q75" s="32" t="e">
        <f t="shared" ca="1" si="41"/>
        <v>#VALUE!</v>
      </c>
      <c r="R75" s="32" t="e">
        <f t="shared" ca="1" si="137"/>
        <v>#VALUE!</v>
      </c>
      <c r="S75" s="32" t="e">
        <f ca="1">+AQ75+RealEstate!H64</f>
        <v>#VALUE!</v>
      </c>
      <c r="T75" s="32">
        <f ca="1">+RealEstate!I64</f>
        <v>0</v>
      </c>
      <c r="U75" s="32" t="e">
        <f t="shared" ca="1" si="138"/>
        <v>#VALUE!</v>
      </c>
      <c r="V75" s="32" t="e">
        <f t="shared" ca="1" si="36"/>
        <v>#VALUE!</v>
      </c>
      <c r="W75" s="32">
        <f t="shared" ca="1" si="139"/>
        <v>0</v>
      </c>
      <c r="Z75" s="25"/>
      <c r="AA75" s="90" t="e">
        <f t="shared" ca="1" si="57"/>
        <v>#VALUE!</v>
      </c>
      <c r="AB75" s="25"/>
      <c r="AC75" s="2" t="e">
        <f t="shared" ca="1" si="140"/>
        <v>#VALUE!</v>
      </c>
      <c r="AD75" s="2" t="e">
        <f t="shared" ref="AD75:AL75" ca="1" si="238">MAX(0,MIN($V75,AD$11*$C75)-AC$11*$C75)*AC$10</f>
        <v>#VALUE!</v>
      </c>
      <c r="AE75" s="2" t="e">
        <f t="shared" ca="1" si="238"/>
        <v>#VALUE!</v>
      </c>
      <c r="AF75" s="2" t="e">
        <f t="shared" ca="1" si="238"/>
        <v>#VALUE!</v>
      </c>
      <c r="AG75" s="2" t="e">
        <f t="shared" ca="1" si="238"/>
        <v>#VALUE!</v>
      </c>
      <c r="AH75" s="2" t="e">
        <f t="shared" ca="1" si="238"/>
        <v>#VALUE!</v>
      </c>
      <c r="AI75" s="2" t="e">
        <f t="shared" ca="1" si="238"/>
        <v>#VALUE!</v>
      </c>
      <c r="AJ75" s="2" t="e">
        <f t="shared" ca="1" si="238"/>
        <v>#VALUE!</v>
      </c>
      <c r="AK75" s="2" t="e">
        <f t="shared" ca="1" si="238"/>
        <v>#VALUE!</v>
      </c>
      <c r="AL75" s="2" t="e">
        <f t="shared" ca="1" si="238"/>
        <v>#VALUE!</v>
      </c>
      <c r="AM75" s="25"/>
      <c r="AN75" s="2" t="e">
        <f t="shared" ca="1" si="142"/>
        <v>#VALUE!</v>
      </c>
      <c r="AO75" s="2" t="e">
        <f t="shared" ca="1" si="143"/>
        <v>#VALUE!</v>
      </c>
      <c r="AP75" s="25"/>
      <c r="AQ75" s="2" t="e">
        <f t="shared" ca="1" si="144"/>
        <v>#VALUE!</v>
      </c>
      <c r="AR75" s="2" t="e">
        <f t="shared" ref="AR75:AZ75" ca="1" si="239">MAX(0,MIN($R75,AR$11*$C75)-AQ$11*$C75)*AQ$10</f>
        <v>#VALUE!</v>
      </c>
      <c r="AS75" s="2" t="e">
        <f t="shared" ca="1" si="239"/>
        <v>#VALUE!</v>
      </c>
      <c r="AT75" s="2" t="e">
        <f t="shared" ca="1" si="239"/>
        <v>#VALUE!</v>
      </c>
      <c r="AU75" s="2" t="e">
        <f t="shared" ca="1" si="239"/>
        <v>#VALUE!</v>
      </c>
      <c r="AV75" s="2" t="e">
        <f t="shared" ca="1" si="239"/>
        <v>#VALUE!</v>
      </c>
      <c r="AW75" s="2" t="e">
        <f t="shared" ca="1" si="239"/>
        <v>#VALUE!</v>
      </c>
      <c r="AX75" s="2" t="e">
        <f t="shared" ca="1" si="239"/>
        <v>#VALUE!</v>
      </c>
      <c r="AY75" s="2" t="e">
        <f t="shared" ca="1" si="239"/>
        <v>#VALUE!</v>
      </c>
      <c r="AZ75" s="2" t="e">
        <f t="shared" ca="1" si="239"/>
        <v>#VALUE!</v>
      </c>
      <c r="BA75" s="25"/>
      <c r="BB75" s="2">
        <f t="shared" ca="1" si="146"/>
        <v>0</v>
      </c>
      <c r="BC75" s="2">
        <f t="shared" ref="BC75:BK75" ca="1" si="240">MAX(0,MIN($W75,BC$11*$C75)-BB$11*$C75)*BB$10</f>
        <v>0</v>
      </c>
      <c r="BD75" s="2">
        <f t="shared" ca="1" si="240"/>
        <v>0</v>
      </c>
      <c r="BE75" s="2">
        <f t="shared" ca="1" si="240"/>
        <v>0</v>
      </c>
      <c r="BF75" s="2">
        <f t="shared" ca="1" si="240"/>
        <v>0</v>
      </c>
      <c r="BG75" s="2">
        <f t="shared" ca="1" si="240"/>
        <v>0</v>
      </c>
      <c r="BH75" s="2">
        <f t="shared" ca="1" si="240"/>
        <v>0</v>
      </c>
      <c r="BI75" s="2">
        <f t="shared" ca="1" si="240"/>
        <v>0</v>
      </c>
      <c r="BJ75" s="2">
        <f t="shared" ca="1" si="240"/>
        <v>0</v>
      </c>
      <c r="BK75" s="2">
        <f t="shared" ca="1" si="240"/>
        <v>0</v>
      </c>
      <c r="BL75" s="25"/>
      <c r="BM75" s="145" t="e">
        <f t="shared" ca="1" si="148"/>
        <v>#VALUE!</v>
      </c>
      <c r="BN75" s="145" t="e">
        <f t="shared" ca="1" si="149"/>
        <v>#VALUE!</v>
      </c>
      <c r="BO75" s="145" t="e">
        <f t="shared" ca="1" si="150"/>
        <v>#VALUE!</v>
      </c>
      <c r="BP75" s="145" t="e">
        <f t="shared" ca="1" si="151"/>
        <v>#VALUE!</v>
      </c>
      <c r="BQ75" s="145">
        <f t="shared" ca="1" si="152"/>
        <v>0</v>
      </c>
      <c r="BR75" s="145" t="e">
        <f t="shared" ca="1" si="40"/>
        <v>#VALUE!</v>
      </c>
      <c r="BS75" s="145" t="e">
        <f t="shared" ca="1" si="153"/>
        <v>#VALUE!</v>
      </c>
      <c r="BT75" s="145" t="e">
        <f t="shared" ca="1" si="154"/>
        <v>#VALUE!</v>
      </c>
      <c r="BU75" s="145" t="e">
        <f t="shared" ca="1" si="155"/>
        <v>#VALUE!</v>
      </c>
      <c r="BV75" s="145" t="e">
        <f t="shared" ca="1" si="156"/>
        <v>#VALUE!</v>
      </c>
      <c r="BW75" s="146" t="e">
        <f t="shared" ca="1" si="157"/>
        <v>#VALUE!</v>
      </c>
      <c r="BX75" s="146" t="e">
        <f t="shared" ca="1" si="158"/>
        <v>#VALUE!</v>
      </c>
      <c r="BY75" s="146" t="e">
        <f t="shared" ca="1" si="159"/>
        <v>#VALUE!</v>
      </c>
    </row>
    <row r="76" spans="1:77" x14ac:dyDescent="0.25">
      <c r="A76" s="14">
        <f t="shared" si="210"/>
        <v>60</v>
      </c>
      <c r="B76" s="14">
        <f t="shared" si="210"/>
        <v>100</v>
      </c>
      <c r="C76" s="38">
        <f t="shared" si="4"/>
        <v>3.2810307883654102</v>
      </c>
      <c r="D76" s="25"/>
      <c r="E76" s="74">
        <f>+SUMIFS(Income!D70:K70,Income!D$5:K$5,FALSE)</f>
        <v>82025.76970913526</v>
      </c>
      <c r="F76" s="74" t="str">
        <f ca="1">+Investments!P71</f>
        <v>EXPIRED</v>
      </c>
      <c r="G76" s="74" t="e">
        <f t="shared" ca="1" si="134"/>
        <v>#VALUE!</v>
      </c>
      <c r="H76" s="5">
        <f>+SUMIFS(Income!D70:K70,Income!D$5:K$5,TRUE)</f>
        <v>0</v>
      </c>
      <c r="I76" s="5" t="str">
        <f ca="1">+Investments!Q71</f>
        <v>EXPIRED</v>
      </c>
      <c r="J76" s="5">
        <f ca="1">+RealEstate!G65</f>
        <v>0</v>
      </c>
      <c r="K76" s="5">
        <f t="shared" ca="1" si="135"/>
        <v>0</v>
      </c>
      <c r="L76" s="5">
        <f t="shared" ca="1" si="136"/>
        <v>0</v>
      </c>
      <c r="M76" s="25"/>
      <c r="N76" s="77" t="str">
        <f ca="1">+Investments!N71</f>
        <v>EXPIRED</v>
      </c>
      <c r="O76" s="77">
        <f t="shared" ca="1" si="191"/>
        <v>0</v>
      </c>
      <c r="P76" s="25"/>
      <c r="Q76" s="32" t="e">
        <f t="shared" ca="1" si="41"/>
        <v>#VALUE!</v>
      </c>
      <c r="R76" s="32" t="e">
        <f t="shared" ca="1" si="137"/>
        <v>#VALUE!</v>
      </c>
      <c r="S76" s="32" t="e">
        <f ca="1">+AQ76+RealEstate!H65</f>
        <v>#VALUE!</v>
      </c>
      <c r="T76" s="32">
        <f ca="1">+RealEstate!I65</f>
        <v>0</v>
      </c>
      <c r="U76" s="32" t="e">
        <f t="shared" ca="1" si="138"/>
        <v>#VALUE!</v>
      </c>
      <c r="V76" s="32" t="e">
        <f t="shared" ca="1" si="36"/>
        <v>#VALUE!</v>
      </c>
      <c r="W76" s="32">
        <f t="shared" ca="1" si="139"/>
        <v>0</v>
      </c>
      <c r="Z76" s="25"/>
      <c r="AA76" s="90" t="e">
        <f t="shared" ca="1" si="57"/>
        <v>#VALUE!</v>
      </c>
      <c r="AB76" s="25"/>
      <c r="AC76" s="2" t="e">
        <f t="shared" ca="1" si="140"/>
        <v>#VALUE!</v>
      </c>
      <c r="AD76" s="2" t="e">
        <f t="shared" ref="AD76:AL76" ca="1" si="241">MAX(0,MIN($V76,AD$11*$C76)-AC$11*$C76)*AC$10</f>
        <v>#VALUE!</v>
      </c>
      <c r="AE76" s="2" t="e">
        <f t="shared" ca="1" si="241"/>
        <v>#VALUE!</v>
      </c>
      <c r="AF76" s="2" t="e">
        <f t="shared" ca="1" si="241"/>
        <v>#VALUE!</v>
      </c>
      <c r="AG76" s="2" t="e">
        <f t="shared" ca="1" si="241"/>
        <v>#VALUE!</v>
      </c>
      <c r="AH76" s="2" t="e">
        <f t="shared" ca="1" si="241"/>
        <v>#VALUE!</v>
      </c>
      <c r="AI76" s="2" t="e">
        <f t="shared" ca="1" si="241"/>
        <v>#VALUE!</v>
      </c>
      <c r="AJ76" s="2" t="e">
        <f t="shared" ca="1" si="241"/>
        <v>#VALUE!</v>
      </c>
      <c r="AK76" s="2" t="e">
        <f t="shared" ca="1" si="241"/>
        <v>#VALUE!</v>
      </c>
      <c r="AL76" s="2" t="e">
        <f t="shared" ca="1" si="241"/>
        <v>#VALUE!</v>
      </c>
      <c r="AM76" s="25"/>
      <c r="AN76" s="2" t="e">
        <f t="shared" ca="1" si="142"/>
        <v>#VALUE!</v>
      </c>
      <c r="AO76" s="2" t="e">
        <f t="shared" ca="1" si="143"/>
        <v>#VALUE!</v>
      </c>
      <c r="AP76" s="25"/>
      <c r="AQ76" s="2" t="e">
        <f t="shared" ca="1" si="144"/>
        <v>#VALUE!</v>
      </c>
      <c r="AR76" s="2" t="e">
        <f t="shared" ref="AR76:AZ76" ca="1" si="242">MAX(0,MIN($R76,AR$11*$C76)-AQ$11*$C76)*AQ$10</f>
        <v>#VALUE!</v>
      </c>
      <c r="AS76" s="2" t="e">
        <f t="shared" ca="1" si="242"/>
        <v>#VALUE!</v>
      </c>
      <c r="AT76" s="2" t="e">
        <f t="shared" ca="1" si="242"/>
        <v>#VALUE!</v>
      </c>
      <c r="AU76" s="2" t="e">
        <f t="shared" ca="1" si="242"/>
        <v>#VALUE!</v>
      </c>
      <c r="AV76" s="2" t="e">
        <f t="shared" ca="1" si="242"/>
        <v>#VALUE!</v>
      </c>
      <c r="AW76" s="2" t="e">
        <f t="shared" ca="1" si="242"/>
        <v>#VALUE!</v>
      </c>
      <c r="AX76" s="2" t="e">
        <f t="shared" ca="1" si="242"/>
        <v>#VALUE!</v>
      </c>
      <c r="AY76" s="2" t="e">
        <f t="shared" ca="1" si="242"/>
        <v>#VALUE!</v>
      </c>
      <c r="AZ76" s="2" t="e">
        <f t="shared" ca="1" si="242"/>
        <v>#VALUE!</v>
      </c>
      <c r="BA76" s="25"/>
      <c r="BB76" s="2">
        <f t="shared" ca="1" si="146"/>
        <v>0</v>
      </c>
      <c r="BC76" s="2">
        <f t="shared" ref="BC76:BK76" ca="1" si="243">MAX(0,MIN($W76,BC$11*$C76)-BB$11*$C76)*BB$10</f>
        <v>0</v>
      </c>
      <c r="BD76" s="2">
        <f t="shared" ca="1" si="243"/>
        <v>0</v>
      </c>
      <c r="BE76" s="2">
        <f t="shared" ca="1" si="243"/>
        <v>0</v>
      </c>
      <c r="BF76" s="2">
        <f t="shared" ca="1" si="243"/>
        <v>0</v>
      </c>
      <c r="BG76" s="2">
        <f t="shared" ca="1" si="243"/>
        <v>0</v>
      </c>
      <c r="BH76" s="2">
        <f t="shared" ca="1" si="243"/>
        <v>0</v>
      </c>
      <c r="BI76" s="2">
        <f t="shared" ca="1" si="243"/>
        <v>0</v>
      </c>
      <c r="BJ76" s="2">
        <f t="shared" ca="1" si="243"/>
        <v>0</v>
      </c>
      <c r="BK76" s="2">
        <f t="shared" ca="1" si="243"/>
        <v>0</v>
      </c>
      <c r="BL76" s="25"/>
      <c r="BM76" s="145" t="e">
        <f t="shared" ca="1" si="148"/>
        <v>#VALUE!</v>
      </c>
      <c r="BN76" s="145" t="e">
        <f t="shared" ca="1" si="149"/>
        <v>#VALUE!</v>
      </c>
      <c r="BO76" s="145" t="e">
        <f t="shared" ca="1" si="150"/>
        <v>#VALUE!</v>
      </c>
      <c r="BP76" s="145" t="e">
        <f t="shared" ca="1" si="151"/>
        <v>#VALUE!</v>
      </c>
      <c r="BQ76" s="145">
        <f t="shared" ca="1" si="152"/>
        <v>0</v>
      </c>
      <c r="BR76" s="145" t="e">
        <f t="shared" ca="1" si="40"/>
        <v>#VALUE!</v>
      </c>
      <c r="BS76" s="145" t="e">
        <f t="shared" ca="1" si="153"/>
        <v>#VALUE!</v>
      </c>
      <c r="BT76" s="145" t="e">
        <f t="shared" ca="1" si="154"/>
        <v>#VALUE!</v>
      </c>
      <c r="BU76" s="145" t="e">
        <f t="shared" ca="1" si="155"/>
        <v>#VALUE!</v>
      </c>
      <c r="BV76" s="145" t="e">
        <f t="shared" ca="1" si="156"/>
        <v>#VALUE!</v>
      </c>
      <c r="BW76" s="146" t="e">
        <f t="shared" ca="1" si="157"/>
        <v>#VALUE!</v>
      </c>
      <c r="BX76" s="146" t="e">
        <f t="shared" ca="1" si="158"/>
        <v>#VALUE!</v>
      </c>
      <c r="BY76" s="146" t="e">
        <f t="shared" ca="1" si="159"/>
        <v>#VALUE!</v>
      </c>
    </row>
    <row r="77" spans="1:77" x14ac:dyDescent="0.25">
      <c r="A77" s="14">
        <f t="shared" si="210"/>
        <v>61</v>
      </c>
      <c r="B77" s="14">
        <f t="shared" si="210"/>
        <v>101</v>
      </c>
      <c r="C77" s="38">
        <f t="shared" si="4"/>
        <v>3.346651404132718</v>
      </c>
      <c r="D77" s="25"/>
      <c r="E77" s="74">
        <f>+SUMIFS(Income!D71:K71,Income!D$5:K$5,FALSE)</f>
        <v>83666.285103317947</v>
      </c>
      <c r="F77" s="74" t="str">
        <f ca="1">+Investments!P72</f>
        <v>EXPIRED</v>
      </c>
      <c r="G77" s="74" t="e">
        <f t="shared" ca="1" si="134"/>
        <v>#VALUE!</v>
      </c>
      <c r="H77" s="5">
        <f>+SUMIFS(Income!D71:K71,Income!D$5:K$5,TRUE)</f>
        <v>0</v>
      </c>
      <c r="I77" s="5" t="str">
        <f ca="1">+Investments!Q72</f>
        <v>EXPIRED</v>
      </c>
      <c r="J77" s="5">
        <f ca="1">+RealEstate!G66</f>
        <v>0</v>
      </c>
      <c r="K77" s="5">
        <f t="shared" ca="1" si="135"/>
        <v>0</v>
      </c>
      <c r="L77" s="5">
        <f t="shared" ca="1" si="136"/>
        <v>0</v>
      </c>
      <c r="M77" s="25"/>
      <c r="N77" s="77" t="str">
        <f ca="1">+Investments!N72</f>
        <v>EXPIRED</v>
      </c>
      <c r="O77" s="77">
        <f t="shared" ca="1" si="191"/>
        <v>0</v>
      </c>
      <c r="P77" s="25"/>
      <c r="Q77" s="32" t="e">
        <f t="shared" ca="1" si="41"/>
        <v>#VALUE!</v>
      </c>
      <c r="R77" s="32" t="e">
        <f t="shared" ca="1" si="137"/>
        <v>#VALUE!</v>
      </c>
      <c r="S77" s="32" t="e">
        <f ca="1">+AQ77+RealEstate!H66</f>
        <v>#VALUE!</v>
      </c>
      <c r="T77" s="32">
        <f ca="1">+RealEstate!I66</f>
        <v>0</v>
      </c>
      <c r="U77" s="32" t="e">
        <f t="shared" ca="1" si="138"/>
        <v>#VALUE!</v>
      </c>
      <c r="V77" s="32" t="e">
        <f t="shared" ca="1" si="36"/>
        <v>#VALUE!</v>
      </c>
      <c r="W77" s="32">
        <f t="shared" ca="1" si="139"/>
        <v>0</v>
      </c>
      <c r="Z77" s="25"/>
      <c r="AA77" s="90" t="e">
        <f t="shared" ca="1" si="57"/>
        <v>#VALUE!</v>
      </c>
      <c r="AB77" s="25"/>
      <c r="AC77" s="2" t="e">
        <f t="shared" ca="1" si="140"/>
        <v>#VALUE!</v>
      </c>
      <c r="AD77" s="2" t="e">
        <f t="shared" ref="AD77:AL77" ca="1" si="244">MAX(0,MIN($V77,AD$11*$C77)-AC$11*$C77)*AC$10</f>
        <v>#VALUE!</v>
      </c>
      <c r="AE77" s="2" t="e">
        <f t="shared" ca="1" si="244"/>
        <v>#VALUE!</v>
      </c>
      <c r="AF77" s="2" t="e">
        <f t="shared" ca="1" si="244"/>
        <v>#VALUE!</v>
      </c>
      <c r="AG77" s="2" t="e">
        <f t="shared" ca="1" si="244"/>
        <v>#VALUE!</v>
      </c>
      <c r="AH77" s="2" t="e">
        <f t="shared" ca="1" si="244"/>
        <v>#VALUE!</v>
      </c>
      <c r="AI77" s="2" t="e">
        <f t="shared" ca="1" si="244"/>
        <v>#VALUE!</v>
      </c>
      <c r="AJ77" s="2" t="e">
        <f t="shared" ca="1" si="244"/>
        <v>#VALUE!</v>
      </c>
      <c r="AK77" s="2" t="e">
        <f t="shared" ca="1" si="244"/>
        <v>#VALUE!</v>
      </c>
      <c r="AL77" s="2" t="e">
        <f t="shared" ca="1" si="244"/>
        <v>#VALUE!</v>
      </c>
      <c r="AM77" s="25"/>
      <c r="AN77" s="2" t="e">
        <f t="shared" ca="1" si="142"/>
        <v>#VALUE!</v>
      </c>
      <c r="AO77" s="2" t="e">
        <f t="shared" ca="1" si="143"/>
        <v>#VALUE!</v>
      </c>
      <c r="AP77" s="25"/>
      <c r="AQ77" s="2" t="e">
        <f t="shared" ca="1" si="144"/>
        <v>#VALUE!</v>
      </c>
      <c r="AR77" s="2" t="e">
        <f t="shared" ref="AR77:AZ77" ca="1" si="245">MAX(0,MIN($R77,AR$11*$C77)-AQ$11*$C77)*AQ$10</f>
        <v>#VALUE!</v>
      </c>
      <c r="AS77" s="2" t="e">
        <f t="shared" ca="1" si="245"/>
        <v>#VALUE!</v>
      </c>
      <c r="AT77" s="2" t="e">
        <f t="shared" ca="1" si="245"/>
        <v>#VALUE!</v>
      </c>
      <c r="AU77" s="2" t="e">
        <f t="shared" ca="1" si="245"/>
        <v>#VALUE!</v>
      </c>
      <c r="AV77" s="2" t="e">
        <f t="shared" ca="1" si="245"/>
        <v>#VALUE!</v>
      </c>
      <c r="AW77" s="2" t="e">
        <f t="shared" ca="1" si="245"/>
        <v>#VALUE!</v>
      </c>
      <c r="AX77" s="2" t="e">
        <f t="shared" ca="1" si="245"/>
        <v>#VALUE!</v>
      </c>
      <c r="AY77" s="2" t="e">
        <f t="shared" ca="1" si="245"/>
        <v>#VALUE!</v>
      </c>
      <c r="AZ77" s="2" t="e">
        <f t="shared" ca="1" si="245"/>
        <v>#VALUE!</v>
      </c>
      <c r="BA77" s="25"/>
      <c r="BB77" s="2">
        <f t="shared" ca="1" si="146"/>
        <v>0</v>
      </c>
      <c r="BC77" s="2">
        <f t="shared" ref="BC77:BK77" ca="1" si="246">MAX(0,MIN($W77,BC$11*$C77)-BB$11*$C77)*BB$10</f>
        <v>0</v>
      </c>
      <c r="BD77" s="2">
        <f t="shared" ca="1" si="246"/>
        <v>0</v>
      </c>
      <c r="BE77" s="2">
        <f t="shared" ca="1" si="246"/>
        <v>0</v>
      </c>
      <c r="BF77" s="2">
        <f t="shared" ca="1" si="246"/>
        <v>0</v>
      </c>
      <c r="BG77" s="2">
        <f t="shared" ca="1" si="246"/>
        <v>0</v>
      </c>
      <c r="BH77" s="2">
        <f t="shared" ca="1" si="246"/>
        <v>0</v>
      </c>
      <c r="BI77" s="2">
        <f t="shared" ca="1" si="246"/>
        <v>0</v>
      </c>
      <c r="BJ77" s="2">
        <f t="shared" ca="1" si="246"/>
        <v>0</v>
      </c>
      <c r="BK77" s="2">
        <f t="shared" ca="1" si="246"/>
        <v>0</v>
      </c>
      <c r="BL77" s="25"/>
      <c r="BM77" s="145" t="e">
        <f t="shared" ca="1" si="148"/>
        <v>#VALUE!</v>
      </c>
      <c r="BN77" s="145" t="e">
        <f t="shared" ca="1" si="149"/>
        <v>#VALUE!</v>
      </c>
      <c r="BO77" s="145" t="e">
        <f t="shared" ca="1" si="150"/>
        <v>#VALUE!</v>
      </c>
      <c r="BP77" s="145" t="e">
        <f t="shared" ca="1" si="151"/>
        <v>#VALUE!</v>
      </c>
      <c r="BQ77" s="145">
        <f t="shared" ca="1" si="152"/>
        <v>0</v>
      </c>
      <c r="BR77" s="145" t="e">
        <f t="shared" ca="1" si="40"/>
        <v>#VALUE!</v>
      </c>
      <c r="BS77" s="145" t="e">
        <f t="shared" ca="1" si="153"/>
        <v>#VALUE!</v>
      </c>
      <c r="BT77" s="145" t="e">
        <f t="shared" ca="1" si="154"/>
        <v>#VALUE!</v>
      </c>
      <c r="BU77" s="145" t="e">
        <f t="shared" ca="1" si="155"/>
        <v>#VALUE!</v>
      </c>
      <c r="BV77" s="145" t="e">
        <f t="shared" ca="1" si="156"/>
        <v>#VALUE!</v>
      </c>
      <c r="BW77" s="146" t="e">
        <f t="shared" ca="1" si="157"/>
        <v>#VALUE!</v>
      </c>
      <c r="BX77" s="146" t="e">
        <f t="shared" ca="1" si="158"/>
        <v>#VALUE!</v>
      </c>
      <c r="BY77" s="146" t="e">
        <f t="shared" ca="1" si="159"/>
        <v>#VALUE!</v>
      </c>
    </row>
    <row r="78" spans="1:77" x14ac:dyDescent="0.25">
      <c r="A78" s="14">
        <f t="shared" si="210"/>
        <v>62</v>
      </c>
      <c r="B78" s="14">
        <f t="shared" si="210"/>
        <v>102</v>
      </c>
      <c r="C78" s="38">
        <f t="shared" si="4"/>
        <v>3.4135844322153726</v>
      </c>
      <c r="D78" s="25"/>
      <c r="E78" s="74">
        <f>+SUMIFS(Income!D72:K72,Income!D$5:K$5,FALSE)</f>
        <v>85339.61080538432</v>
      </c>
      <c r="F78" s="74" t="str">
        <f ca="1">+Investments!P73</f>
        <v>EXPIRED</v>
      </c>
      <c r="G78" s="74" t="e">
        <f t="shared" ca="1" si="134"/>
        <v>#VALUE!</v>
      </c>
      <c r="H78" s="5">
        <f>+SUMIFS(Income!D72:K72,Income!D$5:K$5,TRUE)</f>
        <v>0</v>
      </c>
      <c r="I78" s="5" t="str">
        <f ca="1">+Investments!Q73</f>
        <v>EXPIRED</v>
      </c>
      <c r="J78" s="5">
        <f ca="1">+RealEstate!G67</f>
        <v>0</v>
      </c>
      <c r="K78" s="5">
        <f t="shared" ca="1" si="135"/>
        <v>0</v>
      </c>
      <c r="L78" s="5">
        <f t="shared" ca="1" si="136"/>
        <v>0</v>
      </c>
      <c r="M78" s="25"/>
      <c r="N78" s="77" t="str">
        <f ca="1">+Investments!N73</f>
        <v>EXPIRED</v>
      </c>
      <c r="O78" s="77">
        <f t="shared" ca="1" si="191"/>
        <v>0</v>
      </c>
      <c r="P78" s="25"/>
      <c r="Q78" s="32" t="e">
        <f t="shared" ca="1" si="41"/>
        <v>#VALUE!</v>
      </c>
      <c r="R78" s="32" t="e">
        <f t="shared" ca="1" si="137"/>
        <v>#VALUE!</v>
      </c>
      <c r="S78" s="32" t="e">
        <f ca="1">+AQ78+RealEstate!H67</f>
        <v>#VALUE!</v>
      </c>
      <c r="T78" s="32">
        <f ca="1">+RealEstate!I67</f>
        <v>0</v>
      </c>
      <c r="U78" s="32" t="e">
        <f t="shared" ca="1" si="138"/>
        <v>#VALUE!</v>
      </c>
      <c r="V78" s="32" t="e">
        <f t="shared" ca="1" si="36"/>
        <v>#VALUE!</v>
      </c>
      <c r="W78" s="32">
        <f t="shared" ca="1" si="139"/>
        <v>0</v>
      </c>
      <c r="Z78" s="25"/>
      <c r="AA78" s="90" t="e">
        <f t="shared" ca="1" si="57"/>
        <v>#VALUE!</v>
      </c>
      <c r="AB78" s="25"/>
      <c r="AC78" s="2" t="e">
        <f t="shared" ca="1" si="140"/>
        <v>#VALUE!</v>
      </c>
      <c r="AD78" s="2" t="e">
        <f t="shared" ref="AD78:AL78" ca="1" si="247">MAX(0,MIN($V78,AD$11*$C78)-AC$11*$C78)*AC$10</f>
        <v>#VALUE!</v>
      </c>
      <c r="AE78" s="2" t="e">
        <f t="shared" ca="1" si="247"/>
        <v>#VALUE!</v>
      </c>
      <c r="AF78" s="2" t="e">
        <f t="shared" ca="1" si="247"/>
        <v>#VALUE!</v>
      </c>
      <c r="AG78" s="2" t="e">
        <f t="shared" ca="1" si="247"/>
        <v>#VALUE!</v>
      </c>
      <c r="AH78" s="2" t="e">
        <f t="shared" ca="1" si="247"/>
        <v>#VALUE!</v>
      </c>
      <c r="AI78" s="2" t="e">
        <f t="shared" ca="1" si="247"/>
        <v>#VALUE!</v>
      </c>
      <c r="AJ78" s="2" t="e">
        <f t="shared" ca="1" si="247"/>
        <v>#VALUE!</v>
      </c>
      <c r="AK78" s="2" t="e">
        <f t="shared" ca="1" si="247"/>
        <v>#VALUE!</v>
      </c>
      <c r="AL78" s="2" t="e">
        <f t="shared" ca="1" si="247"/>
        <v>#VALUE!</v>
      </c>
      <c r="AM78" s="25"/>
      <c r="AN78" s="2" t="e">
        <f t="shared" ca="1" si="142"/>
        <v>#VALUE!</v>
      </c>
      <c r="AO78" s="2" t="e">
        <f t="shared" ca="1" si="143"/>
        <v>#VALUE!</v>
      </c>
      <c r="AP78" s="25"/>
      <c r="AQ78" s="2" t="e">
        <f t="shared" ca="1" si="144"/>
        <v>#VALUE!</v>
      </c>
      <c r="AR78" s="2" t="e">
        <f t="shared" ref="AR78:AZ78" ca="1" si="248">MAX(0,MIN($R78,AR$11*$C78)-AQ$11*$C78)*AQ$10</f>
        <v>#VALUE!</v>
      </c>
      <c r="AS78" s="2" t="e">
        <f t="shared" ca="1" si="248"/>
        <v>#VALUE!</v>
      </c>
      <c r="AT78" s="2" t="e">
        <f t="shared" ca="1" si="248"/>
        <v>#VALUE!</v>
      </c>
      <c r="AU78" s="2" t="e">
        <f t="shared" ca="1" si="248"/>
        <v>#VALUE!</v>
      </c>
      <c r="AV78" s="2" t="e">
        <f t="shared" ca="1" si="248"/>
        <v>#VALUE!</v>
      </c>
      <c r="AW78" s="2" t="e">
        <f t="shared" ca="1" si="248"/>
        <v>#VALUE!</v>
      </c>
      <c r="AX78" s="2" t="e">
        <f t="shared" ca="1" si="248"/>
        <v>#VALUE!</v>
      </c>
      <c r="AY78" s="2" t="e">
        <f t="shared" ca="1" si="248"/>
        <v>#VALUE!</v>
      </c>
      <c r="AZ78" s="2" t="e">
        <f t="shared" ca="1" si="248"/>
        <v>#VALUE!</v>
      </c>
      <c r="BA78" s="25"/>
      <c r="BB78" s="2">
        <f t="shared" ca="1" si="146"/>
        <v>0</v>
      </c>
      <c r="BC78" s="2">
        <f t="shared" ref="BC78:BK78" ca="1" si="249">MAX(0,MIN($W78,BC$11*$C78)-BB$11*$C78)*BB$10</f>
        <v>0</v>
      </c>
      <c r="BD78" s="2">
        <f t="shared" ca="1" si="249"/>
        <v>0</v>
      </c>
      <c r="BE78" s="2">
        <f t="shared" ca="1" si="249"/>
        <v>0</v>
      </c>
      <c r="BF78" s="2">
        <f t="shared" ca="1" si="249"/>
        <v>0</v>
      </c>
      <c r="BG78" s="2">
        <f t="shared" ca="1" si="249"/>
        <v>0</v>
      </c>
      <c r="BH78" s="2">
        <f t="shared" ca="1" si="249"/>
        <v>0</v>
      </c>
      <c r="BI78" s="2">
        <f t="shared" ca="1" si="249"/>
        <v>0</v>
      </c>
      <c r="BJ78" s="2">
        <f t="shared" ca="1" si="249"/>
        <v>0</v>
      </c>
      <c r="BK78" s="2">
        <f t="shared" ca="1" si="249"/>
        <v>0</v>
      </c>
      <c r="BL78" s="25"/>
      <c r="BM78" s="145" t="e">
        <f t="shared" ca="1" si="148"/>
        <v>#VALUE!</v>
      </c>
      <c r="BN78" s="145" t="e">
        <f t="shared" ca="1" si="149"/>
        <v>#VALUE!</v>
      </c>
      <c r="BO78" s="145" t="e">
        <f t="shared" ca="1" si="150"/>
        <v>#VALUE!</v>
      </c>
      <c r="BP78" s="145" t="e">
        <f t="shared" ca="1" si="151"/>
        <v>#VALUE!</v>
      </c>
      <c r="BQ78" s="145">
        <f t="shared" ca="1" si="152"/>
        <v>0</v>
      </c>
      <c r="BR78" s="145" t="e">
        <f t="shared" ca="1" si="40"/>
        <v>#VALUE!</v>
      </c>
      <c r="BS78" s="145" t="e">
        <f t="shared" ca="1" si="153"/>
        <v>#VALUE!</v>
      </c>
      <c r="BT78" s="145" t="e">
        <f t="shared" ca="1" si="154"/>
        <v>#VALUE!</v>
      </c>
      <c r="BU78" s="145" t="e">
        <f t="shared" ca="1" si="155"/>
        <v>#VALUE!</v>
      </c>
      <c r="BV78" s="145" t="e">
        <f t="shared" ca="1" si="156"/>
        <v>#VALUE!</v>
      </c>
      <c r="BW78" s="146" t="e">
        <f t="shared" ca="1" si="157"/>
        <v>#VALUE!</v>
      </c>
      <c r="BX78" s="146" t="e">
        <f t="shared" ca="1" si="158"/>
        <v>#VALUE!</v>
      </c>
      <c r="BY78" s="146" t="e">
        <f t="shared" ca="1" si="159"/>
        <v>#VALUE!</v>
      </c>
    </row>
    <row r="79" spans="1:77" x14ac:dyDescent="0.25">
      <c r="A79" s="14">
        <f t="shared" si="210"/>
        <v>63</v>
      </c>
      <c r="B79" s="14">
        <f t="shared" si="210"/>
        <v>103</v>
      </c>
      <c r="C79" s="38">
        <f t="shared" si="4"/>
        <v>3.4818561208596792</v>
      </c>
      <c r="D79" s="25"/>
      <c r="E79" s="74">
        <f>+SUMIFS(Income!D73:K73,Income!D$5:K$5,FALSE)</f>
        <v>87046.403021491977</v>
      </c>
      <c r="F79" s="74" t="str">
        <f ca="1">+Investments!P74</f>
        <v>EXPIRED</v>
      </c>
      <c r="G79" s="74" t="e">
        <f t="shared" ca="1" si="134"/>
        <v>#VALUE!</v>
      </c>
      <c r="H79" s="5">
        <f>+SUMIFS(Income!D73:K73,Income!D$5:K$5,TRUE)</f>
        <v>0</v>
      </c>
      <c r="I79" s="5" t="str">
        <f ca="1">+Investments!Q74</f>
        <v>EXPIRED</v>
      </c>
      <c r="J79" s="5">
        <f ca="1">+RealEstate!G68</f>
        <v>0</v>
      </c>
      <c r="K79" s="5">
        <f t="shared" ca="1" si="135"/>
        <v>0</v>
      </c>
      <c r="L79" s="5">
        <f t="shared" ca="1" si="136"/>
        <v>0</v>
      </c>
      <c r="M79" s="25"/>
      <c r="N79" s="77" t="str">
        <f ca="1">+Investments!N74</f>
        <v>EXPIRED</v>
      </c>
      <c r="O79" s="77">
        <f t="shared" ca="1" si="191"/>
        <v>0</v>
      </c>
      <c r="P79" s="25"/>
      <c r="Q79" s="32" t="e">
        <f t="shared" ca="1" si="41"/>
        <v>#VALUE!</v>
      </c>
      <c r="R79" s="32" t="e">
        <f t="shared" ca="1" si="137"/>
        <v>#VALUE!</v>
      </c>
      <c r="S79" s="32" t="e">
        <f ca="1">+AQ79+RealEstate!H68</f>
        <v>#VALUE!</v>
      </c>
      <c r="T79" s="32">
        <f ca="1">+RealEstate!I68</f>
        <v>0</v>
      </c>
      <c r="U79" s="32" t="e">
        <f t="shared" ca="1" si="138"/>
        <v>#VALUE!</v>
      </c>
      <c r="V79" s="32" t="e">
        <f t="shared" ca="1" si="36"/>
        <v>#VALUE!</v>
      </c>
      <c r="W79" s="32">
        <f t="shared" ca="1" si="139"/>
        <v>0</v>
      </c>
      <c r="Z79" s="25"/>
      <c r="AA79" s="90" t="e">
        <f t="shared" ca="1" si="57"/>
        <v>#VALUE!</v>
      </c>
      <c r="AB79" s="25"/>
      <c r="AC79" s="2" t="e">
        <f t="shared" ca="1" si="140"/>
        <v>#VALUE!</v>
      </c>
      <c r="AD79" s="2" t="e">
        <f t="shared" ref="AD79:AL79" ca="1" si="250">MAX(0,MIN($V79,AD$11*$C79)-AC$11*$C79)*AC$10</f>
        <v>#VALUE!</v>
      </c>
      <c r="AE79" s="2" t="e">
        <f t="shared" ca="1" si="250"/>
        <v>#VALUE!</v>
      </c>
      <c r="AF79" s="2" t="e">
        <f t="shared" ca="1" si="250"/>
        <v>#VALUE!</v>
      </c>
      <c r="AG79" s="2" t="e">
        <f t="shared" ca="1" si="250"/>
        <v>#VALUE!</v>
      </c>
      <c r="AH79" s="2" t="e">
        <f t="shared" ca="1" si="250"/>
        <v>#VALUE!</v>
      </c>
      <c r="AI79" s="2" t="e">
        <f t="shared" ca="1" si="250"/>
        <v>#VALUE!</v>
      </c>
      <c r="AJ79" s="2" t="e">
        <f t="shared" ca="1" si="250"/>
        <v>#VALUE!</v>
      </c>
      <c r="AK79" s="2" t="e">
        <f t="shared" ca="1" si="250"/>
        <v>#VALUE!</v>
      </c>
      <c r="AL79" s="2" t="e">
        <f t="shared" ca="1" si="250"/>
        <v>#VALUE!</v>
      </c>
      <c r="AM79" s="25"/>
      <c r="AN79" s="2" t="e">
        <f t="shared" ca="1" si="142"/>
        <v>#VALUE!</v>
      </c>
      <c r="AO79" s="2" t="e">
        <f t="shared" ca="1" si="143"/>
        <v>#VALUE!</v>
      </c>
      <c r="AP79" s="25"/>
      <c r="AQ79" s="2" t="e">
        <f t="shared" ca="1" si="144"/>
        <v>#VALUE!</v>
      </c>
      <c r="AR79" s="2" t="e">
        <f t="shared" ref="AR79:AZ79" ca="1" si="251">MAX(0,MIN($R79,AR$11*$C79)-AQ$11*$C79)*AQ$10</f>
        <v>#VALUE!</v>
      </c>
      <c r="AS79" s="2" t="e">
        <f t="shared" ca="1" si="251"/>
        <v>#VALUE!</v>
      </c>
      <c r="AT79" s="2" t="e">
        <f t="shared" ca="1" si="251"/>
        <v>#VALUE!</v>
      </c>
      <c r="AU79" s="2" t="e">
        <f t="shared" ca="1" si="251"/>
        <v>#VALUE!</v>
      </c>
      <c r="AV79" s="2" t="e">
        <f t="shared" ca="1" si="251"/>
        <v>#VALUE!</v>
      </c>
      <c r="AW79" s="2" t="e">
        <f t="shared" ca="1" si="251"/>
        <v>#VALUE!</v>
      </c>
      <c r="AX79" s="2" t="e">
        <f t="shared" ca="1" si="251"/>
        <v>#VALUE!</v>
      </c>
      <c r="AY79" s="2" t="e">
        <f t="shared" ca="1" si="251"/>
        <v>#VALUE!</v>
      </c>
      <c r="AZ79" s="2" t="e">
        <f t="shared" ca="1" si="251"/>
        <v>#VALUE!</v>
      </c>
      <c r="BA79" s="25"/>
      <c r="BB79" s="2">
        <f t="shared" ca="1" si="146"/>
        <v>0</v>
      </c>
      <c r="BC79" s="2">
        <f t="shared" ref="BC79:BK79" ca="1" si="252">MAX(0,MIN($W79,BC$11*$C79)-BB$11*$C79)*BB$10</f>
        <v>0</v>
      </c>
      <c r="BD79" s="2">
        <f t="shared" ca="1" si="252"/>
        <v>0</v>
      </c>
      <c r="BE79" s="2">
        <f t="shared" ca="1" si="252"/>
        <v>0</v>
      </c>
      <c r="BF79" s="2">
        <f t="shared" ca="1" si="252"/>
        <v>0</v>
      </c>
      <c r="BG79" s="2">
        <f t="shared" ca="1" si="252"/>
        <v>0</v>
      </c>
      <c r="BH79" s="2">
        <f t="shared" ca="1" si="252"/>
        <v>0</v>
      </c>
      <c r="BI79" s="2">
        <f t="shared" ca="1" si="252"/>
        <v>0</v>
      </c>
      <c r="BJ79" s="2">
        <f t="shared" ca="1" si="252"/>
        <v>0</v>
      </c>
      <c r="BK79" s="2">
        <f t="shared" ca="1" si="252"/>
        <v>0</v>
      </c>
      <c r="BL79" s="25"/>
      <c r="BM79" s="145" t="e">
        <f t="shared" ca="1" si="148"/>
        <v>#VALUE!</v>
      </c>
      <c r="BN79" s="145" t="e">
        <f t="shared" ca="1" si="149"/>
        <v>#VALUE!</v>
      </c>
      <c r="BO79" s="145" t="e">
        <f t="shared" ca="1" si="150"/>
        <v>#VALUE!</v>
      </c>
      <c r="BP79" s="145" t="e">
        <f t="shared" ca="1" si="151"/>
        <v>#VALUE!</v>
      </c>
      <c r="BQ79" s="145">
        <f t="shared" ca="1" si="152"/>
        <v>0</v>
      </c>
      <c r="BR79" s="145" t="e">
        <f t="shared" ca="1" si="40"/>
        <v>#VALUE!</v>
      </c>
      <c r="BS79" s="145" t="e">
        <f t="shared" ca="1" si="153"/>
        <v>#VALUE!</v>
      </c>
      <c r="BT79" s="145" t="e">
        <f t="shared" ca="1" si="154"/>
        <v>#VALUE!</v>
      </c>
      <c r="BU79" s="145" t="e">
        <f t="shared" ca="1" si="155"/>
        <v>#VALUE!</v>
      </c>
      <c r="BV79" s="145" t="e">
        <f t="shared" ca="1" si="156"/>
        <v>#VALUE!</v>
      </c>
      <c r="BW79" s="146" t="e">
        <f t="shared" ca="1" si="157"/>
        <v>#VALUE!</v>
      </c>
      <c r="BX79" s="146" t="e">
        <f t="shared" ca="1" si="158"/>
        <v>#VALUE!</v>
      </c>
      <c r="BY79" s="146" t="e">
        <f t="shared" ca="1" si="159"/>
        <v>#VALUE!</v>
      </c>
    </row>
    <row r="80" spans="1:77" x14ac:dyDescent="0.25">
      <c r="A80" s="14">
        <f t="shared" si="210"/>
        <v>64</v>
      </c>
      <c r="B80" s="14">
        <f t="shared" si="210"/>
        <v>104</v>
      </c>
      <c r="C80" s="38">
        <f t="shared" ref="C80:C116" si="253">+(1+inflation)^A80</f>
        <v>3.5514932432768735</v>
      </c>
      <c r="D80" s="25"/>
      <c r="E80" s="74">
        <f>+SUMIFS(Income!D74:K74,Income!D$5:K$5,FALSE)</f>
        <v>88787.331081921846</v>
      </c>
      <c r="F80" s="74" t="str">
        <f ca="1">+Investments!P75</f>
        <v>EXPIRED</v>
      </c>
      <c r="G80" s="74" t="e">
        <f t="shared" ca="1" si="134"/>
        <v>#VALUE!</v>
      </c>
      <c r="H80" s="5">
        <f>+SUMIFS(Income!D74:K74,Income!D$5:K$5,TRUE)</f>
        <v>0</v>
      </c>
      <c r="I80" s="5" t="str">
        <f ca="1">+Investments!Q75</f>
        <v>EXPIRED</v>
      </c>
      <c r="J80" s="5">
        <f ca="1">+RealEstate!G69</f>
        <v>0</v>
      </c>
      <c r="K80" s="5">
        <f t="shared" ca="1" si="135"/>
        <v>0</v>
      </c>
      <c r="L80" s="5">
        <f t="shared" ca="1" si="136"/>
        <v>0</v>
      </c>
      <c r="M80" s="25"/>
      <c r="N80" s="77" t="str">
        <f ca="1">+Investments!N75</f>
        <v>EXPIRED</v>
      </c>
      <c r="O80" s="77">
        <f t="shared" ca="1" si="191"/>
        <v>0</v>
      </c>
      <c r="P80" s="25"/>
      <c r="Q80" s="32" t="e">
        <f t="shared" ca="1" si="41"/>
        <v>#VALUE!</v>
      </c>
      <c r="R80" s="32" t="e">
        <f t="shared" ca="1" si="137"/>
        <v>#VALUE!</v>
      </c>
      <c r="S80" s="32" t="e">
        <f ca="1">+AQ80+RealEstate!H69</f>
        <v>#VALUE!</v>
      </c>
      <c r="T80" s="32">
        <f ca="1">+RealEstate!I69</f>
        <v>0</v>
      </c>
      <c r="U80" s="32" t="e">
        <f t="shared" ca="1" si="138"/>
        <v>#VALUE!</v>
      </c>
      <c r="V80" s="32" t="e">
        <f t="shared" ca="1" si="36"/>
        <v>#VALUE!</v>
      </c>
      <c r="W80" s="32">
        <f t="shared" ca="1" si="139"/>
        <v>0</v>
      </c>
      <c r="Z80" s="25"/>
      <c r="AA80" s="90" t="e">
        <f t="shared" ca="1" si="57"/>
        <v>#VALUE!</v>
      </c>
      <c r="AB80" s="25"/>
      <c r="AC80" s="2" t="e">
        <f t="shared" ca="1" si="140"/>
        <v>#VALUE!</v>
      </c>
      <c r="AD80" s="2" t="e">
        <f t="shared" ref="AD80:AL80" ca="1" si="254">MAX(0,MIN($V80,AD$11*$C80)-AC$11*$C80)*AC$10</f>
        <v>#VALUE!</v>
      </c>
      <c r="AE80" s="2" t="e">
        <f t="shared" ca="1" si="254"/>
        <v>#VALUE!</v>
      </c>
      <c r="AF80" s="2" t="e">
        <f t="shared" ca="1" si="254"/>
        <v>#VALUE!</v>
      </c>
      <c r="AG80" s="2" t="e">
        <f t="shared" ca="1" si="254"/>
        <v>#VALUE!</v>
      </c>
      <c r="AH80" s="2" t="e">
        <f t="shared" ca="1" si="254"/>
        <v>#VALUE!</v>
      </c>
      <c r="AI80" s="2" t="e">
        <f t="shared" ca="1" si="254"/>
        <v>#VALUE!</v>
      </c>
      <c r="AJ80" s="2" t="e">
        <f t="shared" ca="1" si="254"/>
        <v>#VALUE!</v>
      </c>
      <c r="AK80" s="2" t="e">
        <f t="shared" ca="1" si="254"/>
        <v>#VALUE!</v>
      </c>
      <c r="AL80" s="2" t="e">
        <f t="shared" ca="1" si="254"/>
        <v>#VALUE!</v>
      </c>
      <c r="AM80" s="25"/>
      <c r="AN80" s="2" t="e">
        <f t="shared" ca="1" si="142"/>
        <v>#VALUE!</v>
      </c>
      <c r="AO80" s="2" t="e">
        <f t="shared" ca="1" si="143"/>
        <v>#VALUE!</v>
      </c>
      <c r="AP80" s="25"/>
      <c r="AQ80" s="2" t="e">
        <f t="shared" ca="1" si="144"/>
        <v>#VALUE!</v>
      </c>
      <c r="AR80" s="2" t="e">
        <f t="shared" ref="AR80:AZ80" ca="1" si="255">MAX(0,MIN($R80,AR$11*$C80)-AQ$11*$C80)*AQ$10</f>
        <v>#VALUE!</v>
      </c>
      <c r="AS80" s="2" t="e">
        <f t="shared" ca="1" si="255"/>
        <v>#VALUE!</v>
      </c>
      <c r="AT80" s="2" t="e">
        <f t="shared" ca="1" si="255"/>
        <v>#VALUE!</v>
      </c>
      <c r="AU80" s="2" t="e">
        <f t="shared" ca="1" si="255"/>
        <v>#VALUE!</v>
      </c>
      <c r="AV80" s="2" t="e">
        <f t="shared" ca="1" si="255"/>
        <v>#VALUE!</v>
      </c>
      <c r="AW80" s="2" t="e">
        <f t="shared" ca="1" si="255"/>
        <v>#VALUE!</v>
      </c>
      <c r="AX80" s="2" t="e">
        <f t="shared" ca="1" si="255"/>
        <v>#VALUE!</v>
      </c>
      <c r="AY80" s="2" t="e">
        <f t="shared" ca="1" si="255"/>
        <v>#VALUE!</v>
      </c>
      <c r="AZ80" s="2" t="e">
        <f t="shared" ca="1" si="255"/>
        <v>#VALUE!</v>
      </c>
      <c r="BA80" s="25"/>
      <c r="BB80" s="2">
        <f t="shared" ca="1" si="146"/>
        <v>0</v>
      </c>
      <c r="BC80" s="2">
        <f t="shared" ref="BC80:BK80" ca="1" si="256">MAX(0,MIN($W80,BC$11*$C80)-BB$11*$C80)*BB$10</f>
        <v>0</v>
      </c>
      <c r="BD80" s="2">
        <f t="shared" ca="1" si="256"/>
        <v>0</v>
      </c>
      <c r="BE80" s="2">
        <f t="shared" ca="1" si="256"/>
        <v>0</v>
      </c>
      <c r="BF80" s="2">
        <f t="shared" ca="1" si="256"/>
        <v>0</v>
      </c>
      <c r="BG80" s="2">
        <f t="shared" ca="1" si="256"/>
        <v>0</v>
      </c>
      <c r="BH80" s="2">
        <f t="shared" ca="1" si="256"/>
        <v>0</v>
      </c>
      <c r="BI80" s="2">
        <f t="shared" ca="1" si="256"/>
        <v>0</v>
      </c>
      <c r="BJ80" s="2">
        <f t="shared" ca="1" si="256"/>
        <v>0</v>
      </c>
      <c r="BK80" s="2">
        <f t="shared" ca="1" si="256"/>
        <v>0</v>
      </c>
      <c r="BL80" s="25"/>
      <c r="BM80" s="145" t="e">
        <f t="shared" ca="1" si="148"/>
        <v>#VALUE!</v>
      </c>
      <c r="BN80" s="145" t="e">
        <f t="shared" ca="1" si="149"/>
        <v>#VALUE!</v>
      </c>
      <c r="BO80" s="145" t="e">
        <f t="shared" ca="1" si="150"/>
        <v>#VALUE!</v>
      </c>
      <c r="BP80" s="145" t="e">
        <f t="shared" ca="1" si="151"/>
        <v>#VALUE!</v>
      </c>
      <c r="BQ80" s="145">
        <f t="shared" ca="1" si="152"/>
        <v>0</v>
      </c>
      <c r="BR80" s="145" t="e">
        <f t="shared" ca="1" si="40"/>
        <v>#VALUE!</v>
      </c>
      <c r="BS80" s="145" t="e">
        <f t="shared" ca="1" si="153"/>
        <v>#VALUE!</v>
      </c>
      <c r="BT80" s="145" t="e">
        <f t="shared" ca="1" si="154"/>
        <v>#VALUE!</v>
      </c>
      <c r="BU80" s="145" t="e">
        <f t="shared" ca="1" si="155"/>
        <v>#VALUE!</v>
      </c>
      <c r="BV80" s="145" t="e">
        <f t="shared" ca="1" si="156"/>
        <v>#VALUE!</v>
      </c>
      <c r="BW80" s="146" t="e">
        <f t="shared" ca="1" si="157"/>
        <v>#VALUE!</v>
      </c>
      <c r="BX80" s="146" t="e">
        <f t="shared" ca="1" si="158"/>
        <v>#VALUE!</v>
      </c>
      <c r="BY80" s="146" t="e">
        <f t="shared" ca="1" si="159"/>
        <v>#VALUE!</v>
      </c>
    </row>
    <row r="81" spans="1:77" x14ac:dyDescent="0.25">
      <c r="A81" s="14">
        <f t="shared" si="210"/>
        <v>65</v>
      </c>
      <c r="B81" s="14">
        <f t="shared" si="210"/>
        <v>105</v>
      </c>
      <c r="C81" s="38">
        <f t="shared" si="253"/>
        <v>3.6225231081424112</v>
      </c>
      <c r="D81" s="25"/>
      <c r="E81" s="74">
        <f>+SUMIFS(Income!D75:K75,Income!D$5:K$5,FALSE)</f>
        <v>90563.07770356028</v>
      </c>
      <c r="F81" s="74" t="str">
        <f ca="1">+Investments!P76</f>
        <v>EXPIRED</v>
      </c>
      <c r="G81" s="74" t="e">
        <f t="shared" ref="G81:G112" ca="1" si="257">+E81+F81</f>
        <v>#VALUE!</v>
      </c>
      <c r="H81" s="5">
        <f>+SUMIFS(Income!D75:K75,Income!D$5:K$5,TRUE)</f>
        <v>0</v>
      </c>
      <c r="I81" s="5" t="str">
        <f ca="1">+Investments!Q76</f>
        <v>EXPIRED</v>
      </c>
      <c r="J81" s="5">
        <f ca="1">+RealEstate!G70</f>
        <v>0</v>
      </c>
      <c r="K81" s="5">
        <f t="shared" ref="K81:K112" ca="1" si="258">+SUM(H81:J81)</f>
        <v>0</v>
      </c>
      <c r="L81" s="5">
        <f t="shared" ref="L81:L116" ca="1" si="259">+BB81</f>
        <v>0</v>
      </c>
      <c r="M81" s="25"/>
      <c r="N81" s="77" t="str">
        <f ca="1">+Investments!N76</f>
        <v>EXPIRED</v>
      </c>
      <c r="O81" s="77">
        <f t="shared" ca="1" si="191"/>
        <v>0</v>
      </c>
      <c r="P81" s="25"/>
      <c r="Q81" s="32" t="e">
        <f t="shared" ca="1" si="41"/>
        <v>#VALUE!</v>
      </c>
      <c r="R81" s="32" t="e">
        <f t="shared" ref="R81:R112" ca="1" si="260">MAX(0,+Q81-MAX($B$9*$C81,T81))</f>
        <v>#VALUE!</v>
      </c>
      <c r="S81" s="32" t="e">
        <f ca="1">+AQ81+RealEstate!H70</f>
        <v>#VALUE!</v>
      </c>
      <c r="T81" s="32">
        <f ca="1">+RealEstate!I70</f>
        <v>0</v>
      </c>
      <c r="U81" s="32" t="e">
        <f t="shared" ref="U81:U112" ca="1" si="261">+MAX($B$9*$C81,MIN(T81,$B$10*$C81)+S81)</f>
        <v>#VALUE!</v>
      </c>
      <c r="V81" s="32" t="e">
        <f t="shared" ca="1" si="36"/>
        <v>#VALUE!</v>
      </c>
      <c r="W81" s="32">
        <f t="shared" ref="W81:W116" ca="1" si="262">IF(K81=0,0,MAX(0,+K81-U81*(K81/(G81+K81))))</f>
        <v>0</v>
      </c>
      <c r="Z81" s="25"/>
      <c r="AA81" s="90" t="e">
        <f t="shared" ca="1" si="57"/>
        <v>#VALUE!</v>
      </c>
      <c r="AB81" s="25"/>
      <c r="AC81" s="2" t="e">
        <f t="shared" ref="AC81:AC112" ca="1" si="263">+SUM(AD81:AL81)</f>
        <v>#VALUE!</v>
      </c>
      <c r="AD81" s="2" t="e">
        <f t="shared" ref="AD81:AL81" ca="1" si="264">MAX(0,MIN($V81,AD$11*$C81)-AC$11*$C81)*AC$10</f>
        <v>#VALUE!</v>
      </c>
      <c r="AE81" s="2" t="e">
        <f t="shared" ca="1" si="264"/>
        <v>#VALUE!</v>
      </c>
      <c r="AF81" s="2" t="e">
        <f t="shared" ca="1" si="264"/>
        <v>#VALUE!</v>
      </c>
      <c r="AG81" s="2" t="e">
        <f t="shared" ca="1" si="264"/>
        <v>#VALUE!</v>
      </c>
      <c r="AH81" s="2" t="e">
        <f t="shared" ca="1" si="264"/>
        <v>#VALUE!</v>
      </c>
      <c r="AI81" s="2" t="e">
        <f t="shared" ca="1" si="264"/>
        <v>#VALUE!</v>
      </c>
      <c r="AJ81" s="2" t="e">
        <f t="shared" ca="1" si="264"/>
        <v>#VALUE!</v>
      </c>
      <c r="AK81" s="2" t="e">
        <f t="shared" ca="1" si="264"/>
        <v>#VALUE!</v>
      </c>
      <c r="AL81" s="2" t="e">
        <f t="shared" ca="1" si="264"/>
        <v>#VALUE!</v>
      </c>
      <c r="AM81" s="25"/>
      <c r="AN81" s="2" t="e">
        <f t="shared" ref="AN81:AN116" ca="1" si="265">+(MIN(V81,$AN$11)*$AN$10)*IF($B$12,2,1)</f>
        <v>#VALUE!</v>
      </c>
      <c r="AO81" s="2" t="e">
        <f t="shared" ref="AO81:AO116" ca="1" si="266">((V81*$AO$9)+MAX(0,+V81-$AO$11*$C81)*$AO$10)*IF($B$12,2,1)</f>
        <v>#VALUE!</v>
      </c>
      <c r="AP81" s="25"/>
      <c r="AQ81" s="2" t="e">
        <f t="shared" ref="AQ81:AQ112" ca="1" si="267">+SUM(AR81:AZ81)</f>
        <v>#VALUE!</v>
      </c>
      <c r="AR81" s="2" t="e">
        <f t="shared" ref="AR81:AZ81" ca="1" si="268">MAX(0,MIN($R81,AR$11*$C81)-AQ$11*$C81)*AQ$10</f>
        <v>#VALUE!</v>
      </c>
      <c r="AS81" s="2" t="e">
        <f t="shared" ca="1" si="268"/>
        <v>#VALUE!</v>
      </c>
      <c r="AT81" s="2" t="e">
        <f t="shared" ca="1" si="268"/>
        <v>#VALUE!</v>
      </c>
      <c r="AU81" s="2" t="e">
        <f t="shared" ca="1" si="268"/>
        <v>#VALUE!</v>
      </c>
      <c r="AV81" s="2" t="e">
        <f t="shared" ca="1" si="268"/>
        <v>#VALUE!</v>
      </c>
      <c r="AW81" s="2" t="e">
        <f t="shared" ca="1" si="268"/>
        <v>#VALUE!</v>
      </c>
      <c r="AX81" s="2" t="e">
        <f t="shared" ca="1" si="268"/>
        <v>#VALUE!</v>
      </c>
      <c r="AY81" s="2" t="e">
        <f t="shared" ca="1" si="268"/>
        <v>#VALUE!</v>
      </c>
      <c r="AZ81" s="2" t="e">
        <f t="shared" ca="1" si="268"/>
        <v>#VALUE!</v>
      </c>
      <c r="BA81" s="25"/>
      <c r="BB81" s="2">
        <f t="shared" ref="BB81:BB112" ca="1" si="269">+SUM(BC81:BK81)</f>
        <v>0</v>
      </c>
      <c r="BC81" s="2">
        <f t="shared" ref="BC81:BK81" ca="1" si="270">MAX(0,MIN($W81,BC$11*$C81)-BB$11*$C81)*BB$10</f>
        <v>0</v>
      </c>
      <c r="BD81" s="2">
        <f t="shared" ca="1" si="270"/>
        <v>0</v>
      </c>
      <c r="BE81" s="2">
        <f t="shared" ca="1" si="270"/>
        <v>0</v>
      </c>
      <c r="BF81" s="2">
        <f t="shared" ca="1" si="270"/>
        <v>0</v>
      </c>
      <c r="BG81" s="2">
        <f t="shared" ca="1" si="270"/>
        <v>0</v>
      </c>
      <c r="BH81" s="2">
        <f t="shared" ca="1" si="270"/>
        <v>0</v>
      </c>
      <c r="BI81" s="2">
        <f t="shared" ca="1" si="270"/>
        <v>0</v>
      </c>
      <c r="BJ81" s="2">
        <f t="shared" ca="1" si="270"/>
        <v>0</v>
      </c>
      <c r="BK81" s="2">
        <f t="shared" ca="1" si="270"/>
        <v>0</v>
      </c>
      <c r="BL81" s="25"/>
      <c r="BM81" s="145" t="e">
        <f t="shared" ref="BM81:BM116" ca="1" si="271">+MAX(0,G81+H81+J81)</f>
        <v>#VALUE!</v>
      </c>
      <c r="BN81" s="145" t="e">
        <f t="shared" ref="BN81:BN112" ca="1" si="272">MAX(0,+BM81-MAX($B$9*$C81,T81))</f>
        <v>#VALUE!</v>
      </c>
      <c r="BO81" s="145" t="e">
        <f t="shared" ref="BO81:BO116" ca="1" si="273">+MAX($B$9*$C81,MIN(T81,$B$10*$C81)+BT81)</f>
        <v>#VALUE!</v>
      </c>
      <c r="BP81" s="145" t="e">
        <f t="shared" ref="BP81:BP112" ca="1" si="274">IF(G81=0,0,MAX(0,G81-BO81*(G81/(G81+H81+J81))))</f>
        <v>#VALUE!</v>
      </c>
      <c r="BQ81" s="145">
        <f t="shared" ref="BQ81:BQ116" ca="1" si="275">+H81+J81</f>
        <v>0</v>
      </c>
      <c r="BR81" s="145" t="e">
        <f t="shared" ca="1" si="40"/>
        <v>#VALUE!</v>
      </c>
      <c r="BS81" s="145" t="e">
        <f t="shared" ref="BS81:BS116" ca="1" si="276">+((INDEX($Q$3:$Q$11,BW81+1)*$C81-BP81)*INDEX($S$3:$S$11,BW81)*C81+(BP81-INDEX($Q$3:$Q$11,BW81)*$C81)*INDEX($S$3:$S$11,BW81+1)*C81)/(INDEX($Q$3:$Q$11,BW81+1)*$C81-INDEX($Q$3:$Q$11,BW81)*$C81)</f>
        <v>#VALUE!</v>
      </c>
      <c r="BT81" s="145" t="e">
        <f t="shared" ref="BT81:BT116" ca="1" si="277">+((INDEX($T$3:$T$11,BX81+1)*$C81-BN81)*INDEX($V$3:$V$11,BX81)*$C81+(BN81-INDEX($T$3:$T$11,BX81)*$C81)*INDEX($V$3:$V$11,BX81+1)*$C81)/(INDEX($T$3:$T$11,BX81+1)*$C81-INDEX($T$3:$T$11,BX81)*$C81)</f>
        <v>#VALUE!</v>
      </c>
      <c r="BU81" s="145" t="e">
        <f t="shared" ref="BU81:BU116" ca="1" si="278">+((INDEX($W$3:$W$11,BY81+1)*$C81-BQ81)*INDEX($Y$3:$Y$11,BY81)*$C81+(BQ81-INDEX($W$3:$W$11,BY81)*$C81)*INDEX($Y$3:$Y$11,BY81+1)*$C81)/(INDEX($W$3:$W$11,BY81+1)*$C81-INDEX($W$3:$W$11,BY81)*$C81)</f>
        <v>#VALUE!</v>
      </c>
      <c r="BV81" s="145" t="e">
        <f t="shared" ref="BV81:BV116" ca="1" si="279">+(MIN(BP81,$AN$11*$C81)*$AN$10)*IF($B$12,2,1)+((BP81*$AO$9)+MAX(0,+BP81-$AO$11*$C81)*$AO$10)*IF($B$12,2,1)</f>
        <v>#VALUE!</v>
      </c>
      <c r="BW81" s="146" t="e">
        <f t="shared" ref="BW81:BW116" ca="1" si="280">+MATCH(BP81/C81,$Q$3:$Q$11,1)</f>
        <v>#VALUE!</v>
      </c>
      <c r="BX81" s="146" t="e">
        <f t="shared" ref="BX81:BX116" ca="1" si="281">+MATCH(BN81/C81,$T$3:$T$11,1)</f>
        <v>#VALUE!</v>
      </c>
      <c r="BY81" s="146" t="e">
        <f t="shared" ref="BY81:BY116" ca="1" si="282">+MATCH(BO81/C81,$W$3:$W$11,1)</f>
        <v>#VALUE!</v>
      </c>
    </row>
    <row r="82" spans="1:77" x14ac:dyDescent="0.25">
      <c r="A82" s="14">
        <f t="shared" ref="A82:B97" si="283">+A81+1</f>
        <v>66</v>
      </c>
      <c r="B82" s="14">
        <f t="shared" si="283"/>
        <v>106</v>
      </c>
      <c r="C82" s="38">
        <f t="shared" si="253"/>
        <v>3.6949735703052591</v>
      </c>
      <c r="D82" s="25"/>
      <c r="E82" s="74">
        <f>+SUMIFS(Income!D76:K76,Income!D$5:K$5,FALSE)</f>
        <v>92374.33925763148</v>
      </c>
      <c r="F82" s="74" t="str">
        <f ca="1">+Investments!P77</f>
        <v>EXPIRED</v>
      </c>
      <c r="G82" s="74" t="e">
        <f t="shared" ca="1" si="257"/>
        <v>#VALUE!</v>
      </c>
      <c r="H82" s="5">
        <f>+SUMIFS(Income!D76:K76,Income!D$5:K$5,TRUE)</f>
        <v>0</v>
      </c>
      <c r="I82" s="5" t="str">
        <f ca="1">+Investments!Q77</f>
        <v>EXPIRED</v>
      </c>
      <c r="J82" s="5">
        <f ca="1">+RealEstate!G71</f>
        <v>0</v>
      </c>
      <c r="K82" s="5">
        <f t="shared" ca="1" si="258"/>
        <v>0</v>
      </c>
      <c r="L82" s="5">
        <f t="shared" ca="1" si="259"/>
        <v>0</v>
      </c>
      <c r="M82" s="25"/>
      <c r="N82" s="77" t="str">
        <f ca="1">+Investments!N77</f>
        <v>EXPIRED</v>
      </c>
      <c r="O82" s="77">
        <f t="shared" ca="1" si="191"/>
        <v>0</v>
      </c>
      <c r="P82" s="25"/>
      <c r="Q82" s="32" t="e">
        <f t="shared" ca="1" si="41"/>
        <v>#VALUE!</v>
      </c>
      <c r="R82" s="32" t="e">
        <f t="shared" ca="1" si="260"/>
        <v>#VALUE!</v>
      </c>
      <c r="S82" s="32" t="e">
        <f ca="1">+AQ82+RealEstate!H71</f>
        <v>#VALUE!</v>
      </c>
      <c r="T82" s="32">
        <f ca="1">+RealEstate!I71</f>
        <v>0</v>
      </c>
      <c r="U82" s="32" t="e">
        <f t="shared" ca="1" si="261"/>
        <v>#VALUE!</v>
      </c>
      <c r="V82" s="32" t="e">
        <f t="shared" ref="V82:V116" ca="1" si="284">IF(G82=0,0,MAX(0,G82-U82*(G82/(G82+K82))))-N82</f>
        <v>#VALUE!</v>
      </c>
      <c r="W82" s="32">
        <f t="shared" ca="1" si="262"/>
        <v>0</v>
      </c>
      <c r="Z82" s="25"/>
      <c r="AA82" s="90" t="e">
        <f t="shared" ca="1" si="57"/>
        <v>#VALUE!</v>
      </c>
      <c r="AB82" s="25"/>
      <c r="AC82" s="2" t="e">
        <f t="shared" ca="1" si="263"/>
        <v>#VALUE!</v>
      </c>
      <c r="AD82" s="2" t="e">
        <f t="shared" ref="AD82:AL82" ca="1" si="285">MAX(0,MIN($V82,AD$11*$C82)-AC$11*$C82)*AC$10</f>
        <v>#VALUE!</v>
      </c>
      <c r="AE82" s="2" t="e">
        <f t="shared" ca="1" si="285"/>
        <v>#VALUE!</v>
      </c>
      <c r="AF82" s="2" t="e">
        <f t="shared" ca="1" si="285"/>
        <v>#VALUE!</v>
      </c>
      <c r="AG82" s="2" t="e">
        <f t="shared" ca="1" si="285"/>
        <v>#VALUE!</v>
      </c>
      <c r="AH82" s="2" t="e">
        <f t="shared" ca="1" si="285"/>
        <v>#VALUE!</v>
      </c>
      <c r="AI82" s="2" t="e">
        <f t="shared" ca="1" si="285"/>
        <v>#VALUE!</v>
      </c>
      <c r="AJ82" s="2" t="e">
        <f t="shared" ca="1" si="285"/>
        <v>#VALUE!</v>
      </c>
      <c r="AK82" s="2" t="e">
        <f t="shared" ca="1" si="285"/>
        <v>#VALUE!</v>
      </c>
      <c r="AL82" s="2" t="e">
        <f t="shared" ca="1" si="285"/>
        <v>#VALUE!</v>
      </c>
      <c r="AM82" s="25"/>
      <c r="AN82" s="2" t="e">
        <f t="shared" ca="1" si="265"/>
        <v>#VALUE!</v>
      </c>
      <c r="AO82" s="2" t="e">
        <f t="shared" ca="1" si="266"/>
        <v>#VALUE!</v>
      </c>
      <c r="AP82" s="25"/>
      <c r="AQ82" s="2" t="e">
        <f t="shared" ca="1" si="267"/>
        <v>#VALUE!</v>
      </c>
      <c r="AR82" s="2" t="e">
        <f t="shared" ref="AR82:AZ82" ca="1" si="286">MAX(0,MIN($R82,AR$11*$C82)-AQ$11*$C82)*AQ$10</f>
        <v>#VALUE!</v>
      </c>
      <c r="AS82" s="2" t="e">
        <f t="shared" ca="1" si="286"/>
        <v>#VALUE!</v>
      </c>
      <c r="AT82" s="2" t="e">
        <f t="shared" ca="1" si="286"/>
        <v>#VALUE!</v>
      </c>
      <c r="AU82" s="2" t="e">
        <f t="shared" ca="1" si="286"/>
        <v>#VALUE!</v>
      </c>
      <c r="AV82" s="2" t="e">
        <f t="shared" ca="1" si="286"/>
        <v>#VALUE!</v>
      </c>
      <c r="AW82" s="2" t="e">
        <f t="shared" ca="1" si="286"/>
        <v>#VALUE!</v>
      </c>
      <c r="AX82" s="2" t="e">
        <f t="shared" ca="1" si="286"/>
        <v>#VALUE!</v>
      </c>
      <c r="AY82" s="2" t="e">
        <f t="shared" ca="1" si="286"/>
        <v>#VALUE!</v>
      </c>
      <c r="AZ82" s="2" t="e">
        <f t="shared" ca="1" si="286"/>
        <v>#VALUE!</v>
      </c>
      <c r="BA82" s="25"/>
      <c r="BB82" s="2">
        <f t="shared" ca="1" si="269"/>
        <v>0</v>
      </c>
      <c r="BC82" s="2">
        <f t="shared" ref="BC82:BK82" ca="1" si="287">MAX(0,MIN($W82,BC$11*$C82)-BB$11*$C82)*BB$10</f>
        <v>0</v>
      </c>
      <c r="BD82" s="2">
        <f t="shared" ca="1" si="287"/>
        <v>0</v>
      </c>
      <c r="BE82" s="2">
        <f t="shared" ca="1" si="287"/>
        <v>0</v>
      </c>
      <c r="BF82" s="2">
        <f t="shared" ca="1" si="287"/>
        <v>0</v>
      </c>
      <c r="BG82" s="2">
        <f t="shared" ca="1" si="287"/>
        <v>0</v>
      </c>
      <c r="BH82" s="2">
        <f t="shared" ca="1" si="287"/>
        <v>0</v>
      </c>
      <c r="BI82" s="2">
        <f t="shared" ca="1" si="287"/>
        <v>0</v>
      </c>
      <c r="BJ82" s="2">
        <f t="shared" ca="1" si="287"/>
        <v>0</v>
      </c>
      <c r="BK82" s="2">
        <f t="shared" ca="1" si="287"/>
        <v>0</v>
      </c>
      <c r="BL82" s="25"/>
      <c r="BM82" s="145" t="e">
        <f t="shared" ca="1" si="271"/>
        <v>#VALUE!</v>
      </c>
      <c r="BN82" s="145" t="e">
        <f t="shared" ca="1" si="272"/>
        <v>#VALUE!</v>
      </c>
      <c r="BO82" s="145" t="e">
        <f t="shared" ca="1" si="273"/>
        <v>#VALUE!</v>
      </c>
      <c r="BP82" s="145" t="e">
        <f t="shared" ca="1" si="274"/>
        <v>#VALUE!</v>
      </c>
      <c r="BQ82" s="145">
        <f t="shared" ca="1" si="275"/>
        <v>0</v>
      </c>
      <c r="BR82" s="145" t="e">
        <f t="shared" ref="BR82:BR116" ca="1" si="288">+SUM(BS82:BV82)</f>
        <v>#VALUE!</v>
      </c>
      <c r="BS82" s="145" t="e">
        <f t="shared" ca="1" si="276"/>
        <v>#VALUE!</v>
      </c>
      <c r="BT82" s="145" t="e">
        <f t="shared" ca="1" si="277"/>
        <v>#VALUE!</v>
      </c>
      <c r="BU82" s="145" t="e">
        <f t="shared" ca="1" si="278"/>
        <v>#VALUE!</v>
      </c>
      <c r="BV82" s="145" t="e">
        <f t="shared" ca="1" si="279"/>
        <v>#VALUE!</v>
      </c>
      <c r="BW82" s="146" t="e">
        <f t="shared" ca="1" si="280"/>
        <v>#VALUE!</v>
      </c>
      <c r="BX82" s="146" t="e">
        <f t="shared" ca="1" si="281"/>
        <v>#VALUE!</v>
      </c>
      <c r="BY82" s="146" t="e">
        <f t="shared" ca="1" si="282"/>
        <v>#VALUE!</v>
      </c>
    </row>
    <row r="83" spans="1:77" x14ac:dyDescent="0.25">
      <c r="A83" s="14">
        <f t="shared" si="283"/>
        <v>67</v>
      </c>
      <c r="B83" s="14">
        <f t="shared" si="283"/>
        <v>107</v>
      </c>
      <c r="C83" s="38">
        <f t="shared" si="253"/>
        <v>3.7688730417113643</v>
      </c>
      <c r="D83" s="25"/>
      <c r="E83" s="74">
        <f>+SUMIFS(Income!D77:K77,Income!D$5:K$5,FALSE)</f>
        <v>94221.826042784101</v>
      </c>
      <c r="F83" s="74" t="str">
        <f ca="1">+Investments!P78</f>
        <v>EXPIRED</v>
      </c>
      <c r="G83" s="74" t="e">
        <f t="shared" ca="1" si="257"/>
        <v>#VALUE!</v>
      </c>
      <c r="H83" s="5">
        <f>+SUMIFS(Income!D77:K77,Income!D$5:K$5,TRUE)</f>
        <v>0</v>
      </c>
      <c r="I83" s="5" t="str">
        <f ca="1">+Investments!Q78</f>
        <v>EXPIRED</v>
      </c>
      <c r="J83" s="5">
        <f ca="1">+RealEstate!G72</f>
        <v>0</v>
      </c>
      <c r="K83" s="5">
        <f t="shared" ca="1" si="258"/>
        <v>0</v>
      </c>
      <c r="L83" s="5">
        <f t="shared" ca="1" si="259"/>
        <v>0</v>
      </c>
      <c r="M83" s="25"/>
      <c r="N83" s="77" t="str">
        <f ca="1">+Investments!N78</f>
        <v>EXPIRED</v>
      </c>
      <c r="O83" s="77">
        <f t="shared" ca="1" si="191"/>
        <v>0</v>
      </c>
      <c r="P83" s="25"/>
      <c r="Q83" s="32" t="e">
        <f t="shared" ref="Q83:Q116" ca="1" si="289">+MAX(0,G83+K83-N83)</f>
        <v>#VALUE!</v>
      </c>
      <c r="R83" s="32" t="e">
        <f t="shared" ca="1" si="260"/>
        <v>#VALUE!</v>
      </c>
      <c r="S83" s="32" t="e">
        <f ca="1">+AQ83+RealEstate!H72</f>
        <v>#VALUE!</v>
      </c>
      <c r="T83" s="32">
        <f ca="1">+RealEstate!I72</f>
        <v>0</v>
      </c>
      <c r="U83" s="32" t="e">
        <f t="shared" ca="1" si="261"/>
        <v>#VALUE!</v>
      </c>
      <c r="V83" s="32" t="e">
        <f t="shared" ca="1" si="284"/>
        <v>#VALUE!</v>
      </c>
      <c r="W83" s="32">
        <f t="shared" ca="1" si="262"/>
        <v>0</v>
      </c>
      <c r="Z83" s="25"/>
      <c r="AA83" s="90" t="e">
        <f t="shared" ca="1" si="57"/>
        <v>#VALUE!</v>
      </c>
      <c r="AB83" s="25"/>
      <c r="AC83" s="2" t="e">
        <f t="shared" ca="1" si="263"/>
        <v>#VALUE!</v>
      </c>
      <c r="AD83" s="2" t="e">
        <f t="shared" ref="AD83:AL83" ca="1" si="290">MAX(0,MIN($V83,AD$11*$C83)-AC$11*$C83)*AC$10</f>
        <v>#VALUE!</v>
      </c>
      <c r="AE83" s="2" t="e">
        <f t="shared" ca="1" si="290"/>
        <v>#VALUE!</v>
      </c>
      <c r="AF83" s="2" t="e">
        <f t="shared" ca="1" si="290"/>
        <v>#VALUE!</v>
      </c>
      <c r="AG83" s="2" t="e">
        <f t="shared" ca="1" si="290"/>
        <v>#VALUE!</v>
      </c>
      <c r="AH83" s="2" t="e">
        <f t="shared" ca="1" si="290"/>
        <v>#VALUE!</v>
      </c>
      <c r="AI83" s="2" t="e">
        <f t="shared" ca="1" si="290"/>
        <v>#VALUE!</v>
      </c>
      <c r="AJ83" s="2" t="e">
        <f t="shared" ca="1" si="290"/>
        <v>#VALUE!</v>
      </c>
      <c r="AK83" s="2" t="e">
        <f t="shared" ca="1" si="290"/>
        <v>#VALUE!</v>
      </c>
      <c r="AL83" s="2" t="e">
        <f t="shared" ca="1" si="290"/>
        <v>#VALUE!</v>
      </c>
      <c r="AM83" s="25"/>
      <c r="AN83" s="2" t="e">
        <f t="shared" ca="1" si="265"/>
        <v>#VALUE!</v>
      </c>
      <c r="AO83" s="2" t="e">
        <f t="shared" ca="1" si="266"/>
        <v>#VALUE!</v>
      </c>
      <c r="AP83" s="25"/>
      <c r="AQ83" s="2" t="e">
        <f t="shared" ca="1" si="267"/>
        <v>#VALUE!</v>
      </c>
      <c r="AR83" s="2" t="e">
        <f t="shared" ref="AR83:AZ83" ca="1" si="291">MAX(0,MIN($R83,AR$11*$C83)-AQ$11*$C83)*AQ$10</f>
        <v>#VALUE!</v>
      </c>
      <c r="AS83" s="2" t="e">
        <f t="shared" ca="1" si="291"/>
        <v>#VALUE!</v>
      </c>
      <c r="AT83" s="2" t="e">
        <f t="shared" ca="1" si="291"/>
        <v>#VALUE!</v>
      </c>
      <c r="AU83" s="2" t="e">
        <f t="shared" ca="1" si="291"/>
        <v>#VALUE!</v>
      </c>
      <c r="AV83" s="2" t="e">
        <f t="shared" ca="1" si="291"/>
        <v>#VALUE!</v>
      </c>
      <c r="AW83" s="2" t="e">
        <f t="shared" ca="1" si="291"/>
        <v>#VALUE!</v>
      </c>
      <c r="AX83" s="2" t="e">
        <f t="shared" ca="1" si="291"/>
        <v>#VALUE!</v>
      </c>
      <c r="AY83" s="2" t="e">
        <f t="shared" ca="1" si="291"/>
        <v>#VALUE!</v>
      </c>
      <c r="AZ83" s="2" t="e">
        <f t="shared" ca="1" si="291"/>
        <v>#VALUE!</v>
      </c>
      <c r="BA83" s="25"/>
      <c r="BB83" s="2">
        <f t="shared" ca="1" si="269"/>
        <v>0</v>
      </c>
      <c r="BC83" s="2">
        <f t="shared" ref="BC83:BK83" ca="1" si="292">MAX(0,MIN($W83,BC$11*$C83)-BB$11*$C83)*BB$10</f>
        <v>0</v>
      </c>
      <c r="BD83" s="2">
        <f t="shared" ca="1" si="292"/>
        <v>0</v>
      </c>
      <c r="BE83" s="2">
        <f t="shared" ca="1" si="292"/>
        <v>0</v>
      </c>
      <c r="BF83" s="2">
        <f t="shared" ca="1" si="292"/>
        <v>0</v>
      </c>
      <c r="BG83" s="2">
        <f t="shared" ca="1" si="292"/>
        <v>0</v>
      </c>
      <c r="BH83" s="2">
        <f t="shared" ca="1" si="292"/>
        <v>0</v>
      </c>
      <c r="BI83" s="2">
        <f t="shared" ca="1" si="292"/>
        <v>0</v>
      </c>
      <c r="BJ83" s="2">
        <f t="shared" ca="1" si="292"/>
        <v>0</v>
      </c>
      <c r="BK83" s="2">
        <f t="shared" ca="1" si="292"/>
        <v>0</v>
      </c>
      <c r="BL83" s="25"/>
      <c r="BM83" s="145" t="e">
        <f t="shared" ca="1" si="271"/>
        <v>#VALUE!</v>
      </c>
      <c r="BN83" s="145" t="e">
        <f t="shared" ca="1" si="272"/>
        <v>#VALUE!</v>
      </c>
      <c r="BO83" s="145" t="e">
        <f t="shared" ca="1" si="273"/>
        <v>#VALUE!</v>
      </c>
      <c r="BP83" s="145" t="e">
        <f t="shared" ca="1" si="274"/>
        <v>#VALUE!</v>
      </c>
      <c r="BQ83" s="145">
        <f t="shared" ca="1" si="275"/>
        <v>0</v>
      </c>
      <c r="BR83" s="145" t="e">
        <f t="shared" ca="1" si="288"/>
        <v>#VALUE!</v>
      </c>
      <c r="BS83" s="145" t="e">
        <f t="shared" ca="1" si="276"/>
        <v>#VALUE!</v>
      </c>
      <c r="BT83" s="145" t="e">
        <f t="shared" ca="1" si="277"/>
        <v>#VALUE!</v>
      </c>
      <c r="BU83" s="145" t="e">
        <f t="shared" ca="1" si="278"/>
        <v>#VALUE!</v>
      </c>
      <c r="BV83" s="145" t="e">
        <f t="shared" ca="1" si="279"/>
        <v>#VALUE!</v>
      </c>
      <c r="BW83" s="146" t="e">
        <f t="shared" ca="1" si="280"/>
        <v>#VALUE!</v>
      </c>
      <c r="BX83" s="146" t="e">
        <f t="shared" ca="1" si="281"/>
        <v>#VALUE!</v>
      </c>
      <c r="BY83" s="146" t="e">
        <f t="shared" ca="1" si="282"/>
        <v>#VALUE!</v>
      </c>
    </row>
    <row r="84" spans="1:77" x14ac:dyDescent="0.25">
      <c r="A84" s="14">
        <f t="shared" si="283"/>
        <v>68</v>
      </c>
      <c r="B84" s="14">
        <f t="shared" si="283"/>
        <v>108</v>
      </c>
      <c r="C84" s="38">
        <f t="shared" si="253"/>
        <v>3.8442505025455915</v>
      </c>
      <c r="D84" s="25"/>
      <c r="E84" s="74">
        <f>+SUMIFS(Income!D78:K78,Income!D$5:K$5,FALSE)</f>
        <v>96106.262563639786</v>
      </c>
      <c r="F84" s="74" t="str">
        <f ca="1">+Investments!P79</f>
        <v>EXPIRED</v>
      </c>
      <c r="G84" s="74" t="e">
        <f t="shared" ca="1" si="257"/>
        <v>#VALUE!</v>
      </c>
      <c r="H84" s="5">
        <f>+SUMIFS(Income!D78:K78,Income!D$5:K$5,TRUE)</f>
        <v>0</v>
      </c>
      <c r="I84" s="5" t="str">
        <f ca="1">+Investments!Q79</f>
        <v>EXPIRED</v>
      </c>
      <c r="J84" s="5">
        <f ca="1">+RealEstate!G73</f>
        <v>0</v>
      </c>
      <c r="K84" s="5">
        <f t="shared" ca="1" si="258"/>
        <v>0</v>
      </c>
      <c r="L84" s="5">
        <f t="shared" ca="1" si="259"/>
        <v>0</v>
      </c>
      <c r="M84" s="25"/>
      <c r="N84" s="77" t="str">
        <f ca="1">+Investments!N79</f>
        <v>EXPIRED</v>
      </c>
      <c r="O84" s="77">
        <f t="shared" ca="1" si="191"/>
        <v>0</v>
      </c>
      <c r="P84" s="25"/>
      <c r="Q84" s="32" t="e">
        <f t="shared" ca="1" si="289"/>
        <v>#VALUE!</v>
      </c>
      <c r="R84" s="32" t="e">
        <f t="shared" ca="1" si="260"/>
        <v>#VALUE!</v>
      </c>
      <c r="S84" s="32" t="e">
        <f ca="1">+AQ84+RealEstate!H73</f>
        <v>#VALUE!</v>
      </c>
      <c r="T84" s="32">
        <f ca="1">+RealEstate!I73</f>
        <v>0</v>
      </c>
      <c r="U84" s="32" t="e">
        <f t="shared" ca="1" si="261"/>
        <v>#VALUE!</v>
      </c>
      <c r="V84" s="32" t="e">
        <f t="shared" ca="1" si="284"/>
        <v>#VALUE!</v>
      </c>
      <c r="W84" s="32">
        <f t="shared" ca="1" si="262"/>
        <v>0</v>
      </c>
      <c r="Z84" s="25"/>
      <c r="AA84" s="90" t="e">
        <f t="shared" ca="1" si="57"/>
        <v>#VALUE!</v>
      </c>
      <c r="AB84" s="25"/>
      <c r="AC84" s="2" t="e">
        <f t="shared" ca="1" si="263"/>
        <v>#VALUE!</v>
      </c>
      <c r="AD84" s="2" t="e">
        <f t="shared" ref="AD84:AL84" ca="1" si="293">MAX(0,MIN($V84,AD$11*$C84)-AC$11*$C84)*AC$10</f>
        <v>#VALUE!</v>
      </c>
      <c r="AE84" s="2" t="e">
        <f t="shared" ca="1" si="293"/>
        <v>#VALUE!</v>
      </c>
      <c r="AF84" s="2" t="e">
        <f t="shared" ca="1" si="293"/>
        <v>#VALUE!</v>
      </c>
      <c r="AG84" s="2" t="e">
        <f t="shared" ca="1" si="293"/>
        <v>#VALUE!</v>
      </c>
      <c r="AH84" s="2" t="e">
        <f t="shared" ca="1" si="293"/>
        <v>#VALUE!</v>
      </c>
      <c r="AI84" s="2" t="e">
        <f t="shared" ca="1" si="293"/>
        <v>#VALUE!</v>
      </c>
      <c r="AJ84" s="2" t="e">
        <f t="shared" ca="1" si="293"/>
        <v>#VALUE!</v>
      </c>
      <c r="AK84" s="2" t="e">
        <f t="shared" ca="1" si="293"/>
        <v>#VALUE!</v>
      </c>
      <c r="AL84" s="2" t="e">
        <f t="shared" ca="1" si="293"/>
        <v>#VALUE!</v>
      </c>
      <c r="AM84" s="25"/>
      <c r="AN84" s="2" t="e">
        <f t="shared" ca="1" si="265"/>
        <v>#VALUE!</v>
      </c>
      <c r="AO84" s="2" t="e">
        <f t="shared" ca="1" si="266"/>
        <v>#VALUE!</v>
      </c>
      <c r="AP84" s="25"/>
      <c r="AQ84" s="2" t="e">
        <f t="shared" ca="1" si="267"/>
        <v>#VALUE!</v>
      </c>
      <c r="AR84" s="2" t="e">
        <f t="shared" ref="AR84:AZ84" ca="1" si="294">MAX(0,MIN($R84,AR$11*$C84)-AQ$11*$C84)*AQ$10</f>
        <v>#VALUE!</v>
      </c>
      <c r="AS84" s="2" t="e">
        <f t="shared" ca="1" si="294"/>
        <v>#VALUE!</v>
      </c>
      <c r="AT84" s="2" t="e">
        <f t="shared" ca="1" si="294"/>
        <v>#VALUE!</v>
      </c>
      <c r="AU84" s="2" t="e">
        <f t="shared" ca="1" si="294"/>
        <v>#VALUE!</v>
      </c>
      <c r="AV84" s="2" t="e">
        <f t="shared" ca="1" si="294"/>
        <v>#VALUE!</v>
      </c>
      <c r="AW84" s="2" t="e">
        <f t="shared" ca="1" si="294"/>
        <v>#VALUE!</v>
      </c>
      <c r="AX84" s="2" t="e">
        <f t="shared" ca="1" si="294"/>
        <v>#VALUE!</v>
      </c>
      <c r="AY84" s="2" t="e">
        <f t="shared" ca="1" si="294"/>
        <v>#VALUE!</v>
      </c>
      <c r="AZ84" s="2" t="e">
        <f t="shared" ca="1" si="294"/>
        <v>#VALUE!</v>
      </c>
      <c r="BA84" s="25"/>
      <c r="BB84" s="2">
        <f t="shared" ca="1" si="269"/>
        <v>0</v>
      </c>
      <c r="BC84" s="2">
        <f t="shared" ref="BC84:BK84" ca="1" si="295">MAX(0,MIN($W84,BC$11*$C84)-BB$11*$C84)*BB$10</f>
        <v>0</v>
      </c>
      <c r="BD84" s="2">
        <f t="shared" ca="1" si="295"/>
        <v>0</v>
      </c>
      <c r="BE84" s="2">
        <f t="shared" ca="1" si="295"/>
        <v>0</v>
      </c>
      <c r="BF84" s="2">
        <f t="shared" ca="1" si="295"/>
        <v>0</v>
      </c>
      <c r="BG84" s="2">
        <f t="shared" ca="1" si="295"/>
        <v>0</v>
      </c>
      <c r="BH84" s="2">
        <f t="shared" ca="1" si="295"/>
        <v>0</v>
      </c>
      <c r="BI84" s="2">
        <f t="shared" ca="1" si="295"/>
        <v>0</v>
      </c>
      <c r="BJ84" s="2">
        <f t="shared" ca="1" si="295"/>
        <v>0</v>
      </c>
      <c r="BK84" s="2">
        <f t="shared" ca="1" si="295"/>
        <v>0</v>
      </c>
      <c r="BL84" s="25"/>
      <c r="BM84" s="145" t="e">
        <f t="shared" ca="1" si="271"/>
        <v>#VALUE!</v>
      </c>
      <c r="BN84" s="145" t="e">
        <f t="shared" ca="1" si="272"/>
        <v>#VALUE!</v>
      </c>
      <c r="BO84" s="145" t="e">
        <f t="shared" ca="1" si="273"/>
        <v>#VALUE!</v>
      </c>
      <c r="BP84" s="145" t="e">
        <f t="shared" ca="1" si="274"/>
        <v>#VALUE!</v>
      </c>
      <c r="BQ84" s="145">
        <f t="shared" ca="1" si="275"/>
        <v>0</v>
      </c>
      <c r="BR84" s="145" t="e">
        <f t="shared" ca="1" si="288"/>
        <v>#VALUE!</v>
      </c>
      <c r="BS84" s="145" t="e">
        <f t="shared" ca="1" si="276"/>
        <v>#VALUE!</v>
      </c>
      <c r="BT84" s="145" t="e">
        <f t="shared" ca="1" si="277"/>
        <v>#VALUE!</v>
      </c>
      <c r="BU84" s="145" t="e">
        <f t="shared" ca="1" si="278"/>
        <v>#VALUE!</v>
      </c>
      <c r="BV84" s="145" t="e">
        <f t="shared" ca="1" si="279"/>
        <v>#VALUE!</v>
      </c>
      <c r="BW84" s="146" t="e">
        <f t="shared" ca="1" si="280"/>
        <v>#VALUE!</v>
      </c>
      <c r="BX84" s="146" t="e">
        <f t="shared" ca="1" si="281"/>
        <v>#VALUE!</v>
      </c>
      <c r="BY84" s="146" t="e">
        <f t="shared" ca="1" si="282"/>
        <v>#VALUE!</v>
      </c>
    </row>
    <row r="85" spans="1:77" x14ac:dyDescent="0.25">
      <c r="A85" s="14">
        <f t="shared" si="283"/>
        <v>69</v>
      </c>
      <c r="B85" s="14">
        <f t="shared" si="283"/>
        <v>109</v>
      </c>
      <c r="C85" s="38">
        <f t="shared" si="253"/>
        <v>3.9211355125965035</v>
      </c>
      <c r="D85" s="25"/>
      <c r="E85" s="74">
        <f>+SUMIFS(Income!D79:K79,Income!D$5:K$5,FALSE)</f>
        <v>98028.387814912581</v>
      </c>
      <c r="F85" s="74" t="str">
        <f ca="1">+Investments!P80</f>
        <v>EXPIRED</v>
      </c>
      <c r="G85" s="74" t="e">
        <f t="shared" ca="1" si="257"/>
        <v>#VALUE!</v>
      </c>
      <c r="H85" s="5">
        <f>+SUMIFS(Income!D79:K79,Income!D$5:K$5,TRUE)</f>
        <v>0</v>
      </c>
      <c r="I85" s="5" t="str">
        <f ca="1">+Investments!Q80</f>
        <v>EXPIRED</v>
      </c>
      <c r="J85" s="5">
        <f ca="1">+RealEstate!G74</f>
        <v>0</v>
      </c>
      <c r="K85" s="5">
        <f t="shared" ca="1" si="258"/>
        <v>0</v>
      </c>
      <c r="L85" s="5">
        <f t="shared" ca="1" si="259"/>
        <v>0</v>
      </c>
      <c r="M85" s="25"/>
      <c r="N85" s="77" t="str">
        <f ca="1">+Investments!N80</f>
        <v>EXPIRED</v>
      </c>
      <c r="O85" s="77">
        <f t="shared" ca="1" si="191"/>
        <v>0</v>
      </c>
      <c r="P85" s="25"/>
      <c r="Q85" s="32" t="e">
        <f t="shared" ca="1" si="289"/>
        <v>#VALUE!</v>
      </c>
      <c r="R85" s="32" t="e">
        <f t="shared" ca="1" si="260"/>
        <v>#VALUE!</v>
      </c>
      <c r="S85" s="32" t="e">
        <f ca="1">+AQ85+RealEstate!H74</f>
        <v>#VALUE!</v>
      </c>
      <c r="T85" s="32">
        <f ca="1">+RealEstate!I74</f>
        <v>0</v>
      </c>
      <c r="U85" s="32" t="e">
        <f t="shared" ca="1" si="261"/>
        <v>#VALUE!</v>
      </c>
      <c r="V85" s="32" t="e">
        <f t="shared" ca="1" si="284"/>
        <v>#VALUE!</v>
      </c>
      <c r="W85" s="32">
        <f t="shared" ca="1" si="262"/>
        <v>0</v>
      </c>
      <c r="Z85" s="25"/>
      <c r="AA85" s="90" t="e">
        <f t="shared" ca="1" si="57"/>
        <v>#VALUE!</v>
      </c>
      <c r="AB85" s="25"/>
      <c r="AC85" s="2" t="e">
        <f t="shared" ca="1" si="263"/>
        <v>#VALUE!</v>
      </c>
      <c r="AD85" s="2" t="e">
        <f t="shared" ref="AD85:AL85" ca="1" si="296">MAX(0,MIN($V85,AD$11*$C85)-AC$11*$C85)*AC$10</f>
        <v>#VALUE!</v>
      </c>
      <c r="AE85" s="2" t="e">
        <f t="shared" ca="1" si="296"/>
        <v>#VALUE!</v>
      </c>
      <c r="AF85" s="2" t="e">
        <f t="shared" ca="1" si="296"/>
        <v>#VALUE!</v>
      </c>
      <c r="AG85" s="2" t="e">
        <f t="shared" ca="1" si="296"/>
        <v>#VALUE!</v>
      </c>
      <c r="AH85" s="2" t="e">
        <f t="shared" ca="1" si="296"/>
        <v>#VALUE!</v>
      </c>
      <c r="AI85" s="2" t="e">
        <f t="shared" ca="1" si="296"/>
        <v>#VALUE!</v>
      </c>
      <c r="AJ85" s="2" t="e">
        <f t="shared" ca="1" si="296"/>
        <v>#VALUE!</v>
      </c>
      <c r="AK85" s="2" t="e">
        <f t="shared" ca="1" si="296"/>
        <v>#VALUE!</v>
      </c>
      <c r="AL85" s="2" t="e">
        <f t="shared" ca="1" si="296"/>
        <v>#VALUE!</v>
      </c>
      <c r="AM85" s="25"/>
      <c r="AN85" s="2" t="e">
        <f t="shared" ca="1" si="265"/>
        <v>#VALUE!</v>
      </c>
      <c r="AO85" s="2" t="e">
        <f t="shared" ca="1" si="266"/>
        <v>#VALUE!</v>
      </c>
      <c r="AP85" s="25"/>
      <c r="AQ85" s="2" t="e">
        <f t="shared" ca="1" si="267"/>
        <v>#VALUE!</v>
      </c>
      <c r="AR85" s="2" t="e">
        <f t="shared" ref="AR85:AZ85" ca="1" si="297">MAX(0,MIN($R85,AR$11*$C85)-AQ$11*$C85)*AQ$10</f>
        <v>#VALUE!</v>
      </c>
      <c r="AS85" s="2" t="e">
        <f t="shared" ca="1" si="297"/>
        <v>#VALUE!</v>
      </c>
      <c r="AT85" s="2" t="e">
        <f t="shared" ca="1" si="297"/>
        <v>#VALUE!</v>
      </c>
      <c r="AU85" s="2" t="e">
        <f t="shared" ca="1" si="297"/>
        <v>#VALUE!</v>
      </c>
      <c r="AV85" s="2" t="e">
        <f t="shared" ca="1" si="297"/>
        <v>#VALUE!</v>
      </c>
      <c r="AW85" s="2" t="e">
        <f t="shared" ca="1" si="297"/>
        <v>#VALUE!</v>
      </c>
      <c r="AX85" s="2" t="e">
        <f t="shared" ca="1" si="297"/>
        <v>#VALUE!</v>
      </c>
      <c r="AY85" s="2" t="e">
        <f t="shared" ca="1" si="297"/>
        <v>#VALUE!</v>
      </c>
      <c r="AZ85" s="2" t="e">
        <f t="shared" ca="1" si="297"/>
        <v>#VALUE!</v>
      </c>
      <c r="BA85" s="25"/>
      <c r="BB85" s="2">
        <f t="shared" ca="1" si="269"/>
        <v>0</v>
      </c>
      <c r="BC85" s="2">
        <f t="shared" ref="BC85:BK85" ca="1" si="298">MAX(0,MIN($W85,BC$11*$C85)-BB$11*$C85)*BB$10</f>
        <v>0</v>
      </c>
      <c r="BD85" s="2">
        <f t="shared" ca="1" si="298"/>
        <v>0</v>
      </c>
      <c r="BE85" s="2">
        <f t="shared" ca="1" si="298"/>
        <v>0</v>
      </c>
      <c r="BF85" s="2">
        <f t="shared" ca="1" si="298"/>
        <v>0</v>
      </c>
      <c r="BG85" s="2">
        <f t="shared" ca="1" si="298"/>
        <v>0</v>
      </c>
      <c r="BH85" s="2">
        <f t="shared" ca="1" si="298"/>
        <v>0</v>
      </c>
      <c r="BI85" s="2">
        <f t="shared" ca="1" si="298"/>
        <v>0</v>
      </c>
      <c r="BJ85" s="2">
        <f t="shared" ca="1" si="298"/>
        <v>0</v>
      </c>
      <c r="BK85" s="2">
        <f t="shared" ca="1" si="298"/>
        <v>0</v>
      </c>
      <c r="BL85" s="25"/>
      <c r="BM85" s="145" t="e">
        <f t="shared" ca="1" si="271"/>
        <v>#VALUE!</v>
      </c>
      <c r="BN85" s="145" t="e">
        <f t="shared" ca="1" si="272"/>
        <v>#VALUE!</v>
      </c>
      <c r="BO85" s="145" t="e">
        <f t="shared" ca="1" si="273"/>
        <v>#VALUE!</v>
      </c>
      <c r="BP85" s="145" t="e">
        <f t="shared" ca="1" si="274"/>
        <v>#VALUE!</v>
      </c>
      <c r="BQ85" s="145">
        <f t="shared" ca="1" si="275"/>
        <v>0</v>
      </c>
      <c r="BR85" s="145" t="e">
        <f t="shared" ca="1" si="288"/>
        <v>#VALUE!</v>
      </c>
      <c r="BS85" s="145" t="e">
        <f t="shared" ca="1" si="276"/>
        <v>#VALUE!</v>
      </c>
      <c r="BT85" s="145" t="e">
        <f t="shared" ca="1" si="277"/>
        <v>#VALUE!</v>
      </c>
      <c r="BU85" s="145" t="e">
        <f t="shared" ca="1" si="278"/>
        <v>#VALUE!</v>
      </c>
      <c r="BV85" s="145" t="e">
        <f t="shared" ca="1" si="279"/>
        <v>#VALUE!</v>
      </c>
      <c r="BW85" s="146" t="e">
        <f t="shared" ca="1" si="280"/>
        <v>#VALUE!</v>
      </c>
      <c r="BX85" s="146" t="e">
        <f t="shared" ca="1" si="281"/>
        <v>#VALUE!</v>
      </c>
      <c r="BY85" s="146" t="e">
        <f t="shared" ca="1" si="282"/>
        <v>#VALUE!</v>
      </c>
    </row>
    <row r="86" spans="1:77" x14ac:dyDescent="0.25">
      <c r="A86" s="14">
        <f t="shared" si="283"/>
        <v>70</v>
      </c>
      <c r="B86" s="14">
        <f t="shared" si="283"/>
        <v>110</v>
      </c>
      <c r="C86" s="38">
        <f t="shared" si="253"/>
        <v>3.9995582228484339</v>
      </c>
      <c r="D86" s="25"/>
      <c r="E86" s="74">
        <f>+SUMIFS(Income!D80:K80,Income!D$5:K$5,FALSE)</f>
        <v>99988.955571210841</v>
      </c>
      <c r="F86" s="74" t="str">
        <f ca="1">+Investments!P81</f>
        <v>EXPIRED</v>
      </c>
      <c r="G86" s="74" t="e">
        <f t="shared" ca="1" si="257"/>
        <v>#VALUE!</v>
      </c>
      <c r="H86" s="5">
        <f>+SUMIFS(Income!D80:K80,Income!D$5:K$5,TRUE)</f>
        <v>0</v>
      </c>
      <c r="I86" s="5" t="str">
        <f ca="1">+Investments!Q81</f>
        <v>EXPIRED</v>
      </c>
      <c r="J86" s="5">
        <f ca="1">+RealEstate!G75</f>
        <v>0</v>
      </c>
      <c r="K86" s="5">
        <f t="shared" ca="1" si="258"/>
        <v>0</v>
      </c>
      <c r="L86" s="5">
        <f t="shared" ca="1" si="259"/>
        <v>0</v>
      </c>
      <c r="M86" s="25"/>
      <c r="N86" s="77" t="str">
        <f ca="1">+Investments!N81</f>
        <v>EXPIRED</v>
      </c>
      <c r="O86" s="77">
        <f t="shared" ca="1" si="191"/>
        <v>0</v>
      </c>
      <c r="P86" s="25"/>
      <c r="Q86" s="32" t="e">
        <f t="shared" ca="1" si="289"/>
        <v>#VALUE!</v>
      </c>
      <c r="R86" s="32" t="e">
        <f t="shared" ca="1" si="260"/>
        <v>#VALUE!</v>
      </c>
      <c r="S86" s="32" t="e">
        <f ca="1">+AQ86+RealEstate!H75</f>
        <v>#VALUE!</v>
      </c>
      <c r="T86" s="32">
        <f ca="1">+RealEstate!I75</f>
        <v>0</v>
      </c>
      <c r="U86" s="32" t="e">
        <f t="shared" ca="1" si="261"/>
        <v>#VALUE!</v>
      </c>
      <c r="V86" s="32" t="e">
        <f t="shared" ca="1" si="284"/>
        <v>#VALUE!</v>
      </c>
      <c r="W86" s="32">
        <f t="shared" ca="1" si="262"/>
        <v>0</v>
      </c>
      <c r="Z86" s="25"/>
      <c r="AA86" s="90" t="e">
        <f t="shared" ca="1" si="57"/>
        <v>#VALUE!</v>
      </c>
      <c r="AB86" s="25"/>
      <c r="AC86" s="2" t="e">
        <f t="shared" ca="1" si="263"/>
        <v>#VALUE!</v>
      </c>
      <c r="AD86" s="2" t="e">
        <f t="shared" ref="AD86:AL86" ca="1" si="299">MAX(0,MIN($V86,AD$11*$C86)-AC$11*$C86)*AC$10</f>
        <v>#VALUE!</v>
      </c>
      <c r="AE86" s="2" t="e">
        <f t="shared" ca="1" si="299"/>
        <v>#VALUE!</v>
      </c>
      <c r="AF86" s="2" t="e">
        <f t="shared" ca="1" si="299"/>
        <v>#VALUE!</v>
      </c>
      <c r="AG86" s="2" t="e">
        <f t="shared" ca="1" si="299"/>
        <v>#VALUE!</v>
      </c>
      <c r="AH86" s="2" t="e">
        <f t="shared" ca="1" si="299"/>
        <v>#VALUE!</v>
      </c>
      <c r="AI86" s="2" t="e">
        <f t="shared" ca="1" si="299"/>
        <v>#VALUE!</v>
      </c>
      <c r="AJ86" s="2" t="e">
        <f t="shared" ca="1" si="299"/>
        <v>#VALUE!</v>
      </c>
      <c r="AK86" s="2" t="e">
        <f t="shared" ca="1" si="299"/>
        <v>#VALUE!</v>
      </c>
      <c r="AL86" s="2" t="e">
        <f t="shared" ca="1" si="299"/>
        <v>#VALUE!</v>
      </c>
      <c r="AM86" s="25"/>
      <c r="AN86" s="2" t="e">
        <f t="shared" ca="1" si="265"/>
        <v>#VALUE!</v>
      </c>
      <c r="AO86" s="2" t="e">
        <f t="shared" ca="1" si="266"/>
        <v>#VALUE!</v>
      </c>
      <c r="AP86" s="25"/>
      <c r="AQ86" s="2" t="e">
        <f t="shared" ca="1" si="267"/>
        <v>#VALUE!</v>
      </c>
      <c r="AR86" s="2" t="e">
        <f t="shared" ref="AR86:AZ86" ca="1" si="300">MAX(0,MIN($R86,AR$11*$C86)-AQ$11*$C86)*AQ$10</f>
        <v>#VALUE!</v>
      </c>
      <c r="AS86" s="2" t="e">
        <f t="shared" ca="1" si="300"/>
        <v>#VALUE!</v>
      </c>
      <c r="AT86" s="2" t="e">
        <f t="shared" ca="1" si="300"/>
        <v>#VALUE!</v>
      </c>
      <c r="AU86" s="2" t="e">
        <f t="shared" ca="1" si="300"/>
        <v>#VALUE!</v>
      </c>
      <c r="AV86" s="2" t="e">
        <f t="shared" ca="1" si="300"/>
        <v>#VALUE!</v>
      </c>
      <c r="AW86" s="2" t="e">
        <f t="shared" ca="1" si="300"/>
        <v>#VALUE!</v>
      </c>
      <c r="AX86" s="2" t="e">
        <f t="shared" ca="1" si="300"/>
        <v>#VALUE!</v>
      </c>
      <c r="AY86" s="2" t="e">
        <f t="shared" ca="1" si="300"/>
        <v>#VALUE!</v>
      </c>
      <c r="AZ86" s="2" t="e">
        <f t="shared" ca="1" si="300"/>
        <v>#VALUE!</v>
      </c>
      <c r="BA86" s="25"/>
      <c r="BB86" s="2">
        <f t="shared" ca="1" si="269"/>
        <v>0</v>
      </c>
      <c r="BC86" s="2">
        <f t="shared" ref="BC86:BK86" ca="1" si="301">MAX(0,MIN($W86,BC$11*$C86)-BB$11*$C86)*BB$10</f>
        <v>0</v>
      </c>
      <c r="BD86" s="2">
        <f t="shared" ca="1" si="301"/>
        <v>0</v>
      </c>
      <c r="BE86" s="2">
        <f t="shared" ca="1" si="301"/>
        <v>0</v>
      </c>
      <c r="BF86" s="2">
        <f t="shared" ca="1" si="301"/>
        <v>0</v>
      </c>
      <c r="BG86" s="2">
        <f t="shared" ca="1" si="301"/>
        <v>0</v>
      </c>
      <c r="BH86" s="2">
        <f t="shared" ca="1" si="301"/>
        <v>0</v>
      </c>
      <c r="BI86" s="2">
        <f t="shared" ca="1" si="301"/>
        <v>0</v>
      </c>
      <c r="BJ86" s="2">
        <f t="shared" ca="1" si="301"/>
        <v>0</v>
      </c>
      <c r="BK86" s="2">
        <f t="shared" ca="1" si="301"/>
        <v>0</v>
      </c>
      <c r="BL86" s="25"/>
      <c r="BM86" s="145" t="e">
        <f t="shared" ca="1" si="271"/>
        <v>#VALUE!</v>
      </c>
      <c r="BN86" s="145" t="e">
        <f t="shared" ca="1" si="272"/>
        <v>#VALUE!</v>
      </c>
      <c r="BO86" s="145" t="e">
        <f t="shared" ca="1" si="273"/>
        <v>#VALUE!</v>
      </c>
      <c r="BP86" s="145" t="e">
        <f t="shared" ca="1" si="274"/>
        <v>#VALUE!</v>
      </c>
      <c r="BQ86" s="145">
        <f t="shared" ca="1" si="275"/>
        <v>0</v>
      </c>
      <c r="BR86" s="145" t="e">
        <f t="shared" ca="1" si="288"/>
        <v>#VALUE!</v>
      </c>
      <c r="BS86" s="145" t="e">
        <f t="shared" ca="1" si="276"/>
        <v>#VALUE!</v>
      </c>
      <c r="BT86" s="145" t="e">
        <f t="shared" ca="1" si="277"/>
        <v>#VALUE!</v>
      </c>
      <c r="BU86" s="145" t="e">
        <f t="shared" ca="1" si="278"/>
        <v>#VALUE!</v>
      </c>
      <c r="BV86" s="145" t="e">
        <f t="shared" ca="1" si="279"/>
        <v>#VALUE!</v>
      </c>
      <c r="BW86" s="146" t="e">
        <f t="shared" ca="1" si="280"/>
        <v>#VALUE!</v>
      </c>
      <c r="BX86" s="146" t="e">
        <f t="shared" ca="1" si="281"/>
        <v>#VALUE!</v>
      </c>
      <c r="BY86" s="146" t="e">
        <f t="shared" ca="1" si="282"/>
        <v>#VALUE!</v>
      </c>
    </row>
    <row r="87" spans="1:77" x14ac:dyDescent="0.25">
      <c r="A87" s="14">
        <f t="shared" si="283"/>
        <v>71</v>
      </c>
      <c r="B87" s="14">
        <f t="shared" si="283"/>
        <v>111</v>
      </c>
      <c r="C87" s="38">
        <f t="shared" si="253"/>
        <v>4.0795493873054021</v>
      </c>
      <c r="D87" s="25"/>
      <c r="E87" s="74">
        <f>+SUMIFS(Income!D81:K81,Income!D$5:K$5,FALSE)</f>
        <v>101988.73468263505</v>
      </c>
      <c r="F87" s="74" t="str">
        <f ca="1">+Investments!P82</f>
        <v>EXPIRED</v>
      </c>
      <c r="G87" s="74" t="e">
        <f t="shared" ca="1" si="257"/>
        <v>#VALUE!</v>
      </c>
      <c r="H87" s="5">
        <f>+SUMIFS(Income!D81:K81,Income!D$5:K$5,TRUE)</f>
        <v>0</v>
      </c>
      <c r="I87" s="5" t="str">
        <f ca="1">+Investments!Q82</f>
        <v>EXPIRED</v>
      </c>
      <c r="J87" s="5">
        <f ca="1">+RealEstate!G76</f>
        <v>0</v>
      </c>
      <c r="K87" s="5">
        <f t="shared" ca="1" si="258"/>
        <v>0</v>
      </c>
      <c r="L87" s="5">
        <f t="shared" ca="1" si="259"/>
        <v>0</v>
      </c>
      <c r="M87" s="25"/>
      <c r="N87" s="77" t="str">
        <f ca="1">+Investments!N82</f>
        <v>EXPIRED</v>
      </c>
      <c r="O87" s="77">
        <f t="shared" ca="1" si="191"/>
        <v>0</v>
      </c>
      <c r="P87" s="25"/>
      <c r="Q87" s="32" t="e">
        <f t="shared" ca="1" si="289"/>
        <v>#VALUE!</v>
      </c>
      <c r="R87" s="32" t="e">
        <f t="shared" ca="1" si="260"/>
        <v>#VALUE!</v>
      </c>
      <c r="S87" s="32" t="e">
        <f ca="1">+AQ87+RealEstate!H76</f>
        <v>#VALUE!</v>
      </c>
      <c r="T87" s="32">
        <f ca="1">+RealEstate!I76</f>
        <v>0</v>
      </c>
      <c r="U87" s="32" t="e">
        <f t="shared" ca="1" si="261"/>
        <v>#VALUE!</v>
      </c>
      <c r="V87" s="32" t="e">
        <f t="shared" ca="1" si="284"/>
        <v>#VALUE!</v>
      </c>
      <c r="W87" s="32">
        <f t="shared" ca="1" si="262"/>
        <v>0</v>
      </c>
      <c r="Z87" s="25"/>
      <c r="AA87" s="90" t="e">
        <f t="shared" ca="1" si="57"/>
        <v>#VALUE!</v>
      </c>
      <c r="AB87" s="25"/>
      <c r="AC87" s="2" t="e">
        <f t="shared" ca="1" si="263"/>
        <v>#VALUE!</v>
      </c>
      <c r="AD87" s="2" t="e">
        <f t="shared" ref="AD87:AL87" ca="1" si="302">MAX(0,MIN($V87,AD$11*$C87)-AC$11*$C87)*AC$10</f>
        <v>#VALUE!</v>
      </c>
      <c r="AE87" s="2" t="e">
        <f t="shared" ca="1" si="302"/>
        <v>#VALUE!</v>
      </c>
      <c r="AF87" s="2" t="e">
        <f t="shared" ca="1" si="302"/>
        <v>#VALUE!</v>
      </c>
      <c r="AG87" s="2" t="e">
        <f t="shared" ca="1" si="302"/>
        <v>#VALUE!</v>
      </c>
      <c r="AH87" s="2" t="e">
        <f t="shared" ca="1" si="302"/>
        <v>#VALUE!</v>
      </c>
      <c r="AI87" s="2" t="e">
        <f t="shared" ca="1" si="302"/>
        <v>#VALUE!</v>
      </c>
      <c r="AJ87" s="2" t="e">
        <f t="shared" ca="1" si="302"/>
        <v>#VALUE!</v>
      </c>
      <c r="AK87" s="2" t="e">
        <f t="shared" ca="1" si="302"/>
        <v>#VALUE!</v>
      </c>
      <c r="AL87" s="2" t="e">
        <f t="shared" ca="1" si="302"/>
        <v>#VALUE!</v>
      </c>
      <c r="AM87" s="25"/>
      <c r="AN87" s="2" t="e">
        <f t="shared" ca="1" si="265"/>
        <v>#VALUE!</v>
      </c>
      <c r="AO87" s="2" t="e">
        <f t="shared" ca="1" si="266"/>
        <v>#VALUE!</v>
      </c>
      <c r="AP87" s="25"/>
      <c r="AQ87" s="2" t="e">
        <f t="shared" ca="1" si="267"/>
        <v>#VALUE!</v>
      </c>
      <c r="AR87" s="2" t="e">
        <f t="shared" ref="AR87:AZ87" ca="1" si="303">MAX(0,MIN($R87,AR$11*$C87)-AQ$11*$C87)*AQ$10</f>
        <v>#VALUE!</v>
      </c>
      <c r="AS87" s="2" t="e">
        <f t="shared" ca="1" si="303"/>
        <v>#VALUE!</v>
      </c>
      <c r="AT87" s="2" t="e">
        <f t="shared" ca="1" si="303"/>
        <v>#VALUE!</v>
      </c>
      <c r="AU87" s="2" t="e">
        <f t="shared" ca="1" si="303"/>
        <v>#VALUE!</v>
      </c>
      <c r="AV87" s="2" t="e">
        <f t="shared" ca="1" si="303"/>
        <v>#VALUE!</v>
      </c>
      <c r="AW87" s="2" t="e">
        <f t="shared" ca="1" si="303"/>
        <v>#VALUE!</v>
      </c>
      <c r="AX87" s="2" t="e">
        <f t="shared" ca="1" si="303"/>
        <v>#VALUE!</v>
      </c>
      <c r="AY87" s="2" t="e">
        <f t="shared" ca="1" si="303"/>
        <v>#VALUE!</v>
      </c>
      <c r="AZ87" s="2" t="e">
        <f t="shared" ca="1" si="303"/>
        <v>#VALUE!</v>
      </c>
      <c r="BA87" s="25"/>
      <c r="BB87" s="2">
        <f t="shared" ca="1" si="269"/>
        <v>0</v>
      </c>
      <c r="BC87" s="2">
        <f t="shared" ref="BC87:BK87" ca="1" si="304">MAX(0,MIN($W87,BC$11*$C87)-BB$11*$C87)*BB$10</f>
        <v>0</v>
      </c>
      <c r="BD87" s="2">
        <f t="shared" ca="1" si="304"/>
        <v>0</v>
      </c>
      <c r="BE87" s="2">
        <f t="shared" ca="1" si="304"/>
        <v>0</v>
      </c>
      <c r="BF87" s="2">
        <f t="shared" ca="1" si="304"/>
        <v>0</v>
      </c>
      <c r="BG87" s="2">
        <f t="shared" ca="1" si="304"/>
        <v>0</v>
      </c>
      <c r="BH87" s="2">
        <f t="shared" ca="1" si="304"/>
        <v>0</v>
      </c>
      <c r="BI87" s="2">
        <f t="shared" ca="1" si="304"/>
        <v>0</v>
      </c>
      <c r="BJ87" s="2">
        <f t="shared" ca="1" si="304"/>
        <v>0</v>
      </c>
      <c r="BK87" s="2">
        <f t="shared" ca="1" si="304"/>
        <v>0</v>
      </c>
      <c r="BL87" s="25"/>
      <c r="BM87" s="145" t="e">
        <f t="shared" ca="1" si="271"/>
        <v>#VALUE!</v>
      </c>
      <c r="BN87" s="145" t="e">
        <f t="shared" ca="1" si="272"/>
        <v>#VALUE!</v>
      </c>
      <c r="BO87" s="145" t="e">
        <f t="shared" ca="1" si="273"/>
        <v>#VALUE!</v>
      </c>
      <c r="BP87" s="145" t="e">
        <f t="shared" ca="1" si="274"/>
        <v>#VALUE!</v>
      </c>
      <c r="BQ87" s="145">
        <f t="shared" ca="1" si="275"/>
        <v>0</v>
      </c>
      <c r="BR87" s="145" t="e">
        <f t="shared" ca="1" si="288"/>
        <v>#VALUE!</v>
      </c>
      <c r="BS87" s="145" t="e">
        <f t="shared" ca="1" si="276"/>
        <v>#VALUE!</v>
      </c>
      <c r="BT87" s="145" t="e">
        <f t="shared" ca="1" si="277"/>
        <v>#VALUE!</v>
      </c>
      <c r="BU87" s="145" t="e">
        <f t="shared" ca="1" si="278"/>
        <v>#VALUE!</v>
      </c>
      <c r="BV87" s="145" t="e">
        <f t="shared" ca="1" si="279"/>
        <v>#VALUE!</v>
      </c>
      <c r="BW87" s="146" t="e">
        <f t="shared" ca="1" si="280"/>
        <v>#VALUE!</v>
      </c>
      <c r="BX87" s="146" t="e">
        <f t="shared" ca="1" si="281"/>
        <v>#VALUE!</v>
      </c>
      <c r="BY87" s="146" t="e">
        <f t="shared" ca="1" si="282"/>
        <v>#VALUE!</v>
      </c>
    </row>
    <row r="88" spans="1:77" x14ac:dyDescent="0.25">
      <c r="A88" s="14">
        <f t="shared" si="283"/>
        <v>72</v>
      </c>
      <c r="B88" s="14">
        <f t="shared" si="283"/>
        <v>112</v>
      </c>
      <c r="C88" s="38">
        <f t="shared" si="253"/>
        <v>4.1611403750515104</v>
      </c>
      <c r="D88" s="25"/>
      <c r="E88" s="74">
        <f>+SUMIFS(Income!D82:K82,Income!D$5:K$5,FALSE)</f>
        <v>104028.50937628777</v>
      </c>
      <c r="F88" s="74" t="str">
        <f ca="1">+Investments!P83</f>
        <v>EXPIRED</v>
      </c>
      <c r="G88" s="74" t="e">
        <f t="shared" ca="1" si="257"/>
        <v>#VALUE!</v>
      </c>
      <c r="H88" s="5">
        <f>+SUMIFS(Income!D82:K82,Income!D$5:K$5,TRUE)</f>
        <v>0</v>
      </c>
      <c r="I88" s="5" t="str">
        <f ca="1">+Investments!Q83</f>
        <v>EXPIRED</v>
      </c>
      <c r="J88" s="5">
        <f ca="1">+RealEstate!G77</f>
        <v>0</v>
      </c>
      <c r="K88" s="5">
        <f t="shared" ca="1" si="258"/>
        <v>0</v>
      </c>
      <c r="L88" s="5">
        <f t="shared" ca="1" si="259"/>
        <v>0</v>
      </c>
      <c r="M88" s="25"/>
      <c r="N88" s="77" t="str">
        <f ca="1">+Investments!N83</f>
        <v>EXPIRED</v>
      </c>
      <c r="O88" s="77">
        <f t="shared" ca="1" si="191"/>
        <v>0</v>
      </c>
      <c r="P88" s="25"/>
      <c r="Q88" s="32" t="e">
        <f t="shared" ca="1" si="289"/>
        <v>#VALUE!</v>
      </c>
      <c r="R88" s="32" t="e">
        <f t="shared" ca="1" si="260"/>
        <v>#VALUE!</v>
      </c>
      <c r="S88" s="32" t="e">
        <f ca="1">+AQ88+RealEstate!H77</f>
        <v>#VALUE!</v>
      </c>
      <c r="T88" s="32">
        <f ca="1">+RealEstate!I77</f>
        <v>0</v>
      </c>
      <c r="U88" s="32" t="e">
        <f t="shared" ca="1" si="261"/>
        <v>#VALUE!</v>
      </c>
      <c r="V88" s="32" t="e">
        <f t="shared" ca="1" si="284"/>
        <v>#VALUE!</v>
      </c>
      <c r="W88" s="32">
        <f t="shared" ca="1" si="262"/>
        <v>0</v>
      </c>
      <c r="Z88" s="25"/>
      <c r="AA88" s="90" t="e">
        <f t="shared" ref="AA88:AA116" ca="1" si="305">+AC88+AN88+AO88+AQ88+BB88-O88</f>
        <v>#VALUE!</v>
      </c>
      <c r="AB88" s="25"/>
      <c r="AC88" s="2" t="e">
        <f t="shared" ca="1" si="263"/>
        <v>#VALUE!</v>
      </c>
      <c r="AD88" s="2" t="e">
        <f t="shared" ref="AD88:AL88" ca="1" si="306">MAX(0,MIN($V88,AD$11*$C88)-AC$11*$C88)*AC$10</f>
        <v>#VALUE!</v>
      </c>
      <c r="AE88" s="2" t="e">
        <f t="shared" ca="1" si="306"/>
        <v>#VALUE!</v>
      </c>
      <c r="AF88" s="2" t="e">
        <f t="shared" ca="1" si="306"/>
        <v>#VALUE!</v>
      </c>
      <c r="AG88" s="2" t="e">
        <f t="shared" ca="1" si="306"/>
        <v>#VALUE!</v>
      </c>
      <c r="AH88" s="2" t="e">
        <f t="shared" ca="1" si="306"/>
        <v>#VALUE!</v>
      </c>
      <c r="AI88" s="2" t="e">
        <f t="shared" ca="1" si="306"/>
        <v>#VALUE!</v>
      </c>
      <c r="AJ88" s="2" t="e">
        <f t="shared" ca="1" si="306"/>
        <v>#VALUE!</v>
      </c>
      <c r="AK88" s="2" t="e">
        <f t="shared" ca="1" si="306"/>
        <v>#VALUE!</v>
      </c>
      <c r="AL88" s="2" t="e">
        <f t="shared" ca="1" si="306"/>
        <v>#VALUE!</v>
      </c>
      <c r="AM88" s="25"/>
      <c r="AN88" s="2" t="e">
        <f t="shared" ca="1" si="265"/>
        <v>#VALUE!</v>
      </c>
      <c r="AO88" s="2" t="e">
        <f t="shared" ca="1" si="266"/>
        <v>#VALUE!</v>
      </c>
      <c r="AP88" s="25"/>
      <c r="AQ88" s="2" t="e">
        <f t="shared" ca="1" si="267"/>
        <v>#VALUE!</v>
      </c>
      <c r="AR88" s="2" t="e">
        <f t="shared" ref="AR88:AZ88" ca="1" si="307">MAX(0,MIN($R88,AR$11*$C88)-AQ$11*$C88)*AQ$10</f>
        <v>#VALUE!</v>
      </c>
      <c r="AS88" s="2" t="e">
        <f t="shared" ca="1" si="307"/>
        <v>#VALUE!</v>
      </c>
      <c r="AT88" s="2" t="e">
        <f t="shared" ca="1" si="307"/>
        <v>#VALUE!</v>
      </c>
      <c r="AU88" s="2" t="e">
        <f t="shared" ca="1" si="307"/>
        <v>#VALUE!</v>
      </c>
      <c r="AV88" s="2" t="e">
        <f t="shared" ca="1" si="307"/>
        <v>#VALUE!</v>
      </c>
      <c r="AW88" s="2" t="e">
        <f t="shared" ca="1" si="307"/>
        <v>#VALUE!</v>
      </c>
      <c r="AX88" s="2" t="e">
        <f t="shared" ca="1" si="307"/>
        <v>#VALUE!</v>
      </c>
      <c r="AY88" s="2" t="e">
        <f t="shared" ca="1" si="307"/>
        <v>#VALUE!</v>
      </c>
      <c r="AZ88" s="2" t="e">
        <f t="shared" ca="1" si="307"/>
        <v>#VALUE!</v>
      </c>
      <c r="BA88" s="25"/>
      <c r="BB88" s="2">
        <f t="shared" ca="1" si="269"/>
        <v>0</v>
      </c>
      <c r="BC88" s="2">
        <f t="shared" ref="BC88:BK88" ca="1" si="308">MAX(0,MIN($W88,BC$11*$C88)-BB$11*$C88)*BB$10</f>
        <v>0</v>
      </c>
      <c r="BD88" s="2">
        <f t="shared" ca="1" si="308"/>
        <v>0</v>
      </c>
      <c r="BE88" s="2">
        <f t="shared" ca="1" si="308"/>
        <v>0</v>
      </c>
      <c r="BF88" s="2">
        <f t="shared" ca="1" si="308"/>
        <v>0</v>
      </c>
      <c r="BG88" s="2">
        <f t="shared" ca="1" si="308"/>
        <v>0</v>
      </c>
      <c r="BH88" s="2">
        <f t="shared" ca="1" si="308"/>
        <v>0</v>
      </c>
      <c r="BI88" s="2">
        <f t="shared" ca="1" si="308"/>
        <v>0</v>
      </c>
      <c r="BJ88" s="2">
        <f t="shared" ca="1" si="308"/>
        <v>0</v>
      </c>
      <c r="BK88" s="2">
        <f t="shared" ca="1" si="308"/>
        <v>0</v>
      </c>
      <c r="BL88" s="25"/>
      <c r="BM88" s="145" t="e">
        <f t="shared" ca="1" si="271"/>
        <v>#VALUE!</v>
      </c>
      <c r="BN88" s="145" t="e">
        <f t="shared" ca="1" si="272"/>
        <v>#VALUE!</v>
      </c>
      <c r="BO88" s="145" t="e">
        <f t="shared" ca="1" si="273"/>
        <v>#VALUE!</v>
      </c>
      <c r="BP88" s="145" t="e">
        <f t="shared" ca="1" si="274"/>
        <v>#VALUE!</v>
      </c>
      <c r="BQ88" s="145">
        <f t="shared" ca="1" si="275"/>
        <v>0</v>
      </c>
      <c r="BR88" s="145" t="e">
        <f t="shared" ca="1" si="288"/>
        <v>#VALUE!</v>
      </c>
      <c r="BS88" s="145" t="e">
        <f t="shared" ca="1" si="276"/>
        <v>#VALUE!</v>
      </c>
      <c r="BT88" s="145" t="e">
        <f t="shared" ca="1" si="277"/>
        <v>#VALUE!</v>
      </c>
      <c r="BU88" s="145" t="e">
        <f t="shared" ca="1" si="278"/>
        <v>#VALUE!</v>
      </c>
      <c r="BV88" s="145" t="e">
        <f t="shared" ca="1" si="279"/>
        <v>#VALUE!</v>
      </c>
      <c r="BW88" s="146" t="e">
        <f t="shared" ca="1" si="280"/>
        <v>#VALUE!</v>
      </c>
      <c r="BX88" s="146" t="e">
        <f t="shared" ca="1" si="281"/>
        <v>#VALUE!</v>
      </c>
      <c r="BY88" s="146" t="e">
        <f t="shared" ca="1" si="282"/>
        <v>#VALUE!</v>
      </c>
    </row>
    <row r="89" spans="1:77" x14ac:dyDescent="0.25">
      <c r="A89" s="14">
        <f t="shared" si="283"/>
        <v>73</v>
      </c>
      <c r="B89" s="14">
        <f t="shared" si="283"/>
        <v>113</v>
      </c>
      <c r="C89" s="38">
        <f t="shared" si="253"/>
        <v>4.2443631825525401</v>
      </c>
      <c r="D89" s="25"/>
      <c r="E89" s="74">
        <f>+SUMIFS(Income!D83:K83,Income!D$5:K$5,FALSE)</f>
        <v>106109.0795638135</v>
      </c>
      <c r="F89" s="74" t="str">
        <f ca="1">+Investments!P84</f>
        <v>EXPIRED</v>
      </c>
      <c r="G89" s="74" t="e">
        <f t="shared" ca="1" si="257"/>
        <v>#VALUE!</v>
      </c>
      <c r="H89" s="5">
        <f>+SUMIFS(Income!D83:K83,Income!D$5:K$5,TRUE)</f>
        <v>0</v>
      </c>
      <c r="I89" s="5" t="str">
        <f ca="1">+Investments!Q84</f>
        <v>EXPIRED</v>
      </c>
      <c r="J89" s="5">
        <f ca="1">+RealEstate!G78</f>
        <v>0</v>
      </c>
      <c r="K89" s="5">
        <f t="shared" ca="1" si="258"/>
        <v>0</v>
      </c>
      <c r="L89" s="5">
        <f t="shared" ca="1" si="259"/>
        <v>0</v>
      </c>
      <c r="M89" s="25"/>
      <c r="N89" s="77" t="str">
        <f ca="1">+Investments!N84</f>
        <v>EXPIRED</v>
      </c>
      <c r="O89" s="77">
        <f t="shared" ca="1" si="191"/>
        <v>0</v>
      </c>
      <c r="P89" s="25"/>
      <c r="Q89" s="32" t="e">
        <f t="shared" ca="1" si="289"/>
        <v>#VALUE!</v>
      </c>
      <c r="R89" s="32" t="e">
        <f t="shared" ca="1" si="260"/>
        <v>#VALUE!</v>
      </c>
      <c r="S89" s="32" t="e">
        <f ca="1">+AQ89+RealEstate!H78</f>
        <v>#VALUE!</v>
      </c>
      <c r="T89" s="32">
        <f ca="1">+RealEstate!I78</f>
        <v>0</v>
      </c>
      <c r="U89" s="32" t="e">
        <f t="shared" ca="1" si="261"/>
        <v>#VALUE!</v>
      </c>
      <c r="V89" s="32" t="e">
        <f t="shared" ca="1" si="284"/>
        <v>#VALUE!</v>
      </c>
      <c r="W89" s="32">
        <f t="shared" ca="1" si="262"/>
        <v>0</v>
      </c>
      <c r="Z89" s="25"/>
      <c r="AA89" s="90" t="e">
        <f t="shared" ca="1" si="305"/>
        <v>#VALUE!</v>
      </c>
      <c r="AB89" s="25"/>
      <c r="AC89" s="2" t="e">
        <f t="shared" ca="1" si="263"/>
        <v>#VALUE!</v>
      </c>
      <c r="AD89" s="2" t="e">
        <f t="shared" ref="AD89:AL89" ca="1" si="309">MAX(0,MIN($V89,AD$11*$C89)-AC$11*$C89)*AC$10</f>
        <v>#VALUE!</v>
      </c>
      <c r="AE89" s="2" t="e">
        <f t="shared" ca="1" si="309"/>
        <v>#VALUE!</v>
      </c>
      <c r="AF89" s="2" t="e">
        <f t="shared" ca="1" si="309"/>
        <v>#VALUE!</v>
      </c>
      <c r="AG89" s="2" t="e">
        <f t="shared" ca="1" si="309"/>
        <v>#VALUE!</v>
      </c>
      <c r="AH89" s="2" t="e">
        <f t="shared" ca="1" si="309"/>
        <v>#VALUE!</v>
      </c>
      <c r="AI89" s="2" t="e">
        <f t="shared" ca="1" si="309"/>
        <v>#VALUE!</v>
      </c>
      <c r="AJ89" s="2" t="e">
        <f t="shared" ca="1" si="309"/>
        <v>#VALUE!</v>
      </c>
      <c r="AK89" s="2" t="e">
        <f t="shared" ca="1" si="309"/>
        <v>#VALUE!</v>
      </c>
      <c r="AL89" s="2" t="e">
        <f t="shared" ca="1" si="309"/>
        <v>#VALUE!</v>
      </c>
      <c r="AM89" s="25"/>
      <c r="AN89" s="2" t="e">
        <f t="shared" ca="1" si="265"/>
        <v>#VALUE!</v>
      </c>
      <c r="AO89" s="2" t="e">
        <f t="shared" ca="1" si="266"/>
        <v>#VALUE!</v>
      </c>
      <c r="AP89" s="25"/>
      <c r="AQ89" s="2" t="e">
        <f t="shared" ca="1" si="267"/>
        <v>#VALUE!</v>
      </c>
      <c r="AR89" s="2" t="e">
        <f t="shared" ref="AR89:AZ89" ca="1" si="310">MAX(0,MIN($R89,AR$11*$C89)-AQ$11*$C89)*AQ$10</f>
        <v>#VALUE!</v>
      </c>
      <c r="AS89" s="2" t="e">
        <f t="shared" ca="1" si="310"/>
        <v>#VALUE!</v>
      </c>
      <c r="AT89" s="2" t="e">
        <f t="shared" ca="1" si="310"/>
        <v>#VALUE!</v>
      </c>
      <c r="AU89" s="2" t="e">
        <f t="shared" ca="1" si="310"/>
        <v>#VALUE!</v>
      </c>
      <c r="AV89" s="2" t="e">
        <f t="shared" ca="1" si="310"/>
        <v>#VALUE!</v>
      </c>
      <c r="AW89" s="2" t="e">
        <f t="shared" ca="1" si="310"/>
        <v>#VALUE!</v>
      </c>
      <c r="AX89" s="2" t="e">
        <f t="shared" ca="1" si="310"/>
        <v>#VALUE!</v>
      </c>
      <c r="AY89" s="2" t="e">
        <f t="shared" ca="1" si="310"/>
        <v>#VALUE!</v>
      </c>
      <c r="AZ89" s="2" t="e">
        <f t="shared" ca="1" si="310"/>
        <v>#VALUE!</v>
      </c>
      <c r="BA89" s="25"/>
      <c r="BB89" s="2">
        <f t="shared" ca="1" si="269"/>
        <v>0</v>
      </c>
      <c r="BC89" s="2">
        <f t="shared" ref="BC89:BK89" ca="1" si="311">MAX(0,MIN($W89,BC$11*$C89)-BB$11*$C89)*BB$10</f>
        <v>0</v>
      </c>
      <c r="BD89" s="2">
        <f t="shared" ca="1" si="311"/>
        <v>0</v>
      </c>
      <c r="BE89" s="2">
        <f t="shared" ca="1" si="311"/>
        <v>0</v>
      </c>
      <c r="BF89" s="2">
        <f t="shared" ca="1" si="311"/>
        <v>0</v>
      </c>
      <c r="BG89" s="2">
        <f t="shared" ca="1" si="311"/>
        <v>0</v>
      </c>
      <c r="BH89" s="2">
        <f t="shared" ca="1" si="311"/>
        <v>0</v>
      </c>
      <c r="BI89" s="2">
        <f t="shared" ca="1" si="311"/>
        <v>0</v>
      </c>
      <c r="BJ89" s="2">
        <f t="shared" ca="1" si="311"/>
        <v>0</v>
      </c>
      <c r="BK89" s="2">
        <f t="shared" ca="1" si="311"/>
        <v>0</v>
      </c>
      <c r="BL89" s="25"/>
      <c r="BM89" s="145" t="e">
        <f t="shared" ca="1" si="271"/>
        <v>#VALUE!</v>
      </c>
      <c r="BN89" s="145" t="e">
        <f t="shared" ca="1" si="272"/>
        <v>#VALUE!</v>
      </c>
      <c r="BO89" s="145" t="e">
        <f t="shared" ca="1" si="273"/>
        <v>#VALUE!</v>
      </c>
      <c r="BP89" s="145" t="e">
        <f t="shared" ca="1" si="274"/>
        <v>#VALUE!</v>
      </c>
      <c r="BQ89" s="145">
        <f t="shared" ca="1" si="275"/>
        <v>0</v>
      </c>
      <c r="BR89" s="145" t="e">
        <f t="shared" ca="1" si="288"/>
        <v>#VALUE!</v>
      </c>
      <c r="BS89" s="145" t="e">
        <f t="shared" ca="1" si="276"/>
        <v>#VALUE!</v>
      </c>
      <c r="BT89" s="145" t="e">
        <f t="shared" ca="1" si="277"/>
        <v>#VALUE!</v>
      </c>
      <c r="BU89" s="145" t="e">
        <f t="shared" ca="1" si="278"/>
        <v>#VALUE!</v>
      </c>
      <c r="BV89" s="145" t="e">
        <f t="shared" ca="1" si="279"/>
        <v>#VALUE!</v>
      </c>
      <c r="BW89" s="146" t="e">
        <f t="shared" ca="1" si="280"/>
        <v>#VALUE!</v>
      </c>
      <c r="BX89" s="146" t="e">
        <f t="shared" ca="1" si="281"/>
        <v>#VALUE!</v>
      </c>
      <c r="BY89" s="146" t="e">
        <f t="shared" ca="1" si="282"/>
        <v>#VALUE!</v>
      </c>
    </row>
    <row r="90" spans="1:77" x14ac:dyDescent="0.25">
      <c r="A90" s="14">
        <f t="shared" si="283"/>
        <v>74</v>
      </c>
      <c r="B90" s="14">
        <f t="shared" si="283"/>
        <v>114</v>
      </c>
      <c r="C90" s="38">
        <f t="shared" si="253"/>
        <v>4.3292504462035915</v>
      </c>
      <c r="D90" s="25"/>
      <c r="E90" s="74">
        <f>+SUMIFS(Income!D84:K84,Income!D$5:K$5,FALSE)</f>
        <v>108231.26115508979</v>
      </c>
      <c r="F90" s="74" t="str">
        <f ca="1">+Investments!P85</f>
        <v>EXPIRED</v>
      </c>
      <c r="G90" s="74" t="e">
        <f t="shared" ca="1" si="257"/>
        <v>#VALUE!</v>
      </c>
      <c r="H90" s="5">
        <f>+SUMIFS(Income!D84:K84,Income!D$5:K$5,TRUE)</f>
        <v>0</v>
      </c>
      <c r="I90" s="5" t="str">
        <f ca="1">+Investments!Q85</f>
        <v>EXPIRED</v>
      </c>
      <c r="J90" s="5">
        <f ca="1">+RealEstate!G79</f>
        <v>0</v>
      </c>
      <c r="K90" s="5">
        <f t="shared" ca="1" si="258"/>
        <v>0</v>
      </c>
      <c r="L90" s="5">
        <f t="shared" ca="1" si="259"/>
        <v>0</v>
      </c>
      <c r="M90" s="25"/>
      <c r="N90" s="77" t="str">
        <f ca="1">+Investments!N85</f>
        <v>EXPIRED</v>
      </c>
      <c r="O90" s="77">
        <f t="shared" ca="1" si="191"/>
        <v>0</v>
      </c>
      <c r="P90" s="25"/>
      <c r="Q90" s="32" t="e">
        <f t="shared" ca="1" si="289"/>
        <v>#VALUE!</v>
      </c>
      <c r="R90" s="32" t="e">
        <f t="shared" ca="1" si="260"/>
        <v>#VALUE!</v>
      </c>
      <c r="S90" s="32" t="e">
        <f ca="1">+AQ90+RealEstate!H79</f>
        <v>#VALUE!</v>
      </c>
      <c r="T90" s="32">
        <f ca="1">+RealEstate!I79</f>
        <v>0</v>
      </c>
      <c r="U90" s="32" t="e">
        <f t="shared" ca="1" si="261"/>
        <v>#VALUE!</v>
      </c>
      <c r="V90" s="32" t="e">
        <f t="shared" ca="1" si="284"/>
        <v>#VALUE!</v>
      </c>
      <c r="W90" s="32">
        <f t="shared" ca="1" si="262"/>
        <v>0</v>
      </c>
      <c r="Z90" s="25"/>
      <c r="AA90" s="90" t="e">
        <f t="shared" ca="1" si="305"/>
        <v>#VALUE!</v>
      </c>
      <c r="AB90" s="25"/>
      <c r="AC90" s="2" t="e">
        <f t="shared" ca="1" si="263"/>
        <v>#VALUE!</v>
      </c>
      <c r="AD90" s="2" t="e">
        <f t="shared" ref="AD90:AL90" ca="1" si="312">MAX(0,MIN($V90,AD$11*$C90)-AC$11*$C90)*AC$10</f>
        <v>#VALUE!</v>
      </c>
      <c r="AE90" s="2" t="e">
        <f t="shared" ca="1" si="312"/>
        <v>#VALUE!</v>
      </c>
      <c r="AF90" s="2" t="e">
        <f t="shared" ca="1" si="312"/>
        <v>#VALUE!</v>
      </c>
      <c r="AG90" s="2" t="e">
        <f t="shared" ca="1" si="312"/>
        <v>#VALUE!</v>
      </c>
      <c r="AH90" s="2" t="e">
        <f t="shared" ca="1" si="312"/>
        <v>#VALUE!</v>
      </c>
      <c r="AI90" s="2" t="e">
        <f t="shared" ca="1" si="312"/>
        <v>#VALUE!</v>
      </c>
      <c r="AJ90" s="2" t="e">
        <f t="shared" ca="1" si="312"/>
        <v>#VALUE!</v>
      </c>
      <c r="AK90" s="2" t="e">
        <f t="shared" ca="1" si="312"/>
        <v>#VALUE!</v>
      </c>
      <c r="AL90" s="2" t="e">
        <f t="shared" ca="1" si="312"/>
        <v>#VALUE!</v>
      </c>
      <c r="AM90" s="25"/>
      <c r="AN90" s="2" t="e">
        <f t="shared" ca="1" si="265"/>
        <v>#VALUE!</v>
      </c>
      <c r="AO90" s="2" t="e">
        <f t="shared" ca="1" si="266"/>
        <v>#VALUE!</v>
      </c>
      <c r="AP90" s="25"/>
      <c r="AQ90" s="2" t="e">
        <f t="shared" ca="1" si="267"/>
        <v>#VALUE!</v>
      </c>
      <c r="AR90" s="2" t="e">
        <f t="shared" ref="AR90:AZ90" ca="1" si="313">MAX(0,MIN($R90,AR$11*$C90)-AQ$11*$C90)*AQ$10</f>
        <v>#VALUE!</v>
      </c>
      <c r="AS90" s="2" t="e">
        <f t="shared" ca="1" si="313"/>
        <v>#VALUE!</v>
      </c>
      <c r="AT90" s="2" t="e">
        <f t="shared" ca="1" si="313"/>
        <v>#VALUE!</v>
      </c>
      <c r="AU90" s="2" t="e">
        <f t="shared" ca="1" si="313"/>
        <v>#VALUE!</v>
      </c>
      <c r="AV90" s="2" t="e">
        <f t="shared" ca="1" si="313"/>
        <v>#VALUE!</v>
      </c>
      <c r="AW90" s="2" t="e">
        <f t="shared" ca="1" si="313"/>
        <v>#VALUE!</v>
      </c>
      <c r="AX90" s="2" t="e">
        <f t="shared" ca="1" si="313"/>
        <v>#VALUE!</v>
      </c>
      <c r="AY90" s="2" t="e">
        <f t="shared" ca="1" si="313"/>
        <v>#VALUE!</v>
      </c>
      <c r="AZ90" s="2" t="e">
        <f t="shared" ca="1" si="313"/>
        <v>#VALUE!</v>
      </c>
      <c r="BA90" s="25"/>
      <c r="BB90" s="2">
        <f t="shared" ca="1" si="269"/>
        <v>0</v>
      </c>
      <c r="BC90" s="2">
        <f t="shared" ref="BC90:BK90" ca="1" si="314">MAX(0,MIN($W90,BC$11*$C90)-BB$11*$C90)*BB$10</f>
        <v>0</v>
      </c>
      <c r="BD90" s="2">
        <f t="shared" ca="1" si="314"/>
        <v>0</v>
      </c>
      <c r="BE90" s="2">
        <f t="shared" ca="1" si="314"/>
        <v>0</v>
      </c>
      <c r="BF90" s="2">
        <f t="shared" ca="1" si="314"/>
        <v>0</v>
      </c>
      <c r="BG90" s="2">
        <f t="shared" ca="1" si="314"/>
        <v>0</v>
      </c>
      <c r="BH90" s="2">
        <f t="shared" ca="1" si="314"/>
        <v>0</v>
      </c>
      <c r="BI90" s="2">
        <f t="shared" ca="1" si="314"/>
        <v>0</v>
      </c>
      <c r="BJ90" s="2">
        <f t="shared" ca="1" si="314"/>
        <v>0</v>
      </c>
      <c r="BK90" s="2">
        <f t="shared" ca="1" si="314"/>
        <v>0</v>
      </c>
      <c r="BL90" s="25"/>
      <c r="BM90" s="145" t="e">
        <f t="shared" ca="1" si="271"/>
        <v>#VALUE!</v>
      </c>
      <c r="BN90" s="145" t="e">
        <f t="shared" ca="1" si="272"/>
        <v>#VALUE!</v>
      </c>
      <c r="BO90" s="145" t="e">
        <f t="shared" ca="1" si="273"/>
        <v>#VALUE!</v>
      </c>
      <c r="BP90" s="145" t="e">
        <f t="shared" ca="1" si="274"/>
        <v>#VALUE!</v>
      </c>
      <c r="BQ90" s="145">
        <f t="shared" ca="1" si="275"/>
        <v>0</v>
      </c>
      <c r="BR90" s="145" t="e">
        <f t="shared" ca="1" si="288"/>
        <v>#VALUE!</v>
      </c>
      <c r="BS90" s="145" t="e">
        <f t="shared" ca="1" si="276"/>
        <v>#VALUE!</v>
      </c>
      <c r="BT90" s="145" t="e">
        <f t="shared" ca="1" si="277"/>
        <v>#VALUE!</v>
      </c>
      <c r="BU90" s="145" t="e">
        <f t="shared" ca="1" si="278"/>
        <v>#VALUE!</v>
      </c>
      <c r="BV90" s="145" t="e">
        <f t="shared" ca="1" si="279"/>
        <v>#VALUE!</v>
      </c>
      <c r="BW90" s="146" t="e">
        <f t="shared" ca="1" si="280"/>
        <v>#VALUE!</v>
      </c>
      <c r="BX90" s="146" t="e">
        <f t="shared" ca="1" si="281"/>
        <v>#VALUE!</v>
      </c>
      <c r="BY90" s="146" t="e">
        <f t="shared" ca="1" si="282"/>
        <v>#VALUE!</v>
      </c>
    </row>
    <row r="91" spans="1:77" x14ac:dyDescent="0.25">
      <c r="A91" s="14">
        <f t="shared" si="283"/>
        <v>75</v>
      </c>
      <c r="B91" s="14">
        <f t="shared" si="283"/>
        <v>115</v>
      </c>
      <c r="C91" s="38">
        <f t="shared" si="253"/>
        <v>4.4158354551276622</v>
      </c>
      <c r="D91" s="25"/>
      <c r="E91" s="74">
        <f>+SUMIFS(Income!D85:K85,Income!D$5:K$5,FALSE)</f>
        <v>110395.88637819156</v>
      </c>
      <c r="F91" s="74" t="str">
        <f ca="1">+Investments!P86</f>
        <v>EXPIRED</v>
      </c>
      <c r="G91" s="74" t="e">
        <f t="shared" ca="1" si="257"/>
        <v>#VALUE!</v>
      </c>
      <c r="H91" s="5">
        <f>+SUMIFS(Income!D85:K85,Income!D$5:K$5,TRUE)</f>
        <v>0</v>
      </c>
      <c r="I91" s="5" t="str">
        <f ca="1">+Investments!Q86</f>
        <v>EXPIRED</v>
      </c>
      <c r="J91" s="5">
        <f ca="1">+RealEstate!G80</f>
        <v>0</v>
      </c>
      <c r="K91" s="5">
        <f t="shared" ca="1" si="258"/>
        <v>0</v>
      </c>
      <c r="L91" s="5">
        <f t="shared" ca="1" si="259"/>
        <v>0</v>
      </c>
      <c r="M91" s="25"/>
      <c r="N91" s="77" t="str">
        <f ca="1">+Investments!N86</f>
        <v>EXPIRED</v>
      </c>
      <c r="O91" s="77">
        <f t="shared" ca="1" si="191"/>
        <v>0</v>
      </c>
      <c r="P91" s="25"/>
      <c r="Q91" s="32" t="e">
        <f t="shared" ca="1" si="289"/>
        <v>#VALUE!</v>
      </c>
      <c r="R91" s="32" t="e">
        <f t="shared" ca="1" si="260"/>
        <v>#VALUE!</v>
      </c>
      <c r="S91" s="32" t="e">
        <f ca="1">+AQ91+RealEstate!H80</f>
        <v>#VALUE!</v>
      </c>
      <c r="T91" s="32">
        <f ca="1">+RealEstate!I80</f>
        <v>0</v>
      </c>
      <c r="U91" s="32" t="e">
        <f t="shared" ca="1" si="261"/>
        <v>#VALUE!</v>
      </c>
      <c r="V91" s="32" t="e">
        <f t="shared" ca="1" si="284"/>
        <v>#VALUE!</v>
      </c>
      <c r="W91" s="32">
        <f t="shared" ca="1" si="262"/>
        <v>0</v>
      </c>
      <c r="Z91" s="25"/>
      <c r="AA91" s="90" t="e">
        <f t="shared" ca="1" si="305"/>
        <v>#VALUE!</v>
      </c>
      <c r="AB91" s="25"/>
      <c r="AC91" s="2" t="e">
        <f t="shared" ca="1" si="263"/>
        <v>#VALUE!</v>
      </c>
      <c r="AD91" s="2" t="e">
        <f t="shared" ref="AD91:AL91" ca="1" si="315">MAX(0,MIN($V91,AD$11*$C91)-AC$11*$C91)*AC$10</f>
        <v>#VALUE!</v>
      </c>
      <c r="AE91" s="2" t="e">
        <f t="shared" ca="1" si="315"/>
        <v>#VALUE!</v>
      </c>
      <c r="AF91" s="2" t="e">
        <f t="shared" ca="1" si="315"/>
        <v>#VALUE!</v>
      </c>
      <c r="AG91" s="2" t="e">
        <f t="shared" ca="1" si="315"/>
        <v>#VALUE!</v>
      </c>
      <c r="AH91" s="2" t="e">
        <f t="shared" ca="1" si="315"/>
        <v>#VALUE!</v>
      </c>
      <c r="AI91" s="2" t="e">
        <f t="shared" ca="1" si="315"/>
        <v>#VALUE!</v>
      </c>
      <c r="AJ91" s="2" t="e">
        <f t="shared" ca="1" si="315"/>
        <v>#VALUE!</v>
      </c>
      <c r="AK91" s="2" t="e">
        <f t="shared" ca="1" si="315"/>
        <v>#VALUE!</v>
      </c>
      <c r="AL91" s="2" t="e">
        <f t="shared" ca="1" si="315"/>
        <v>#VALUE!</v>
      </c>
      <c r="AM91" s="25"/>
      <c r="AN91" s="2" t="e">
        <f t="shared" ca="1" si="265"/>
        <v>#VALUE!</v>
      </c>
      <c r="AO91" s="2" t="e">
        <f t="shared" ca="1" si="266"/>
        <v>#VALUE!</v>
      </c>
      <c r="AP91" s="25"/>
      <c r="AQ91" s="2" t="e">
        <f t="shared" ca="1" si="267"/>
        <v>#VALUE!</v>
      </c>
      <c r="AR91" s="2" t="e">
        <f t="shared" ref="AR91:AZ91" ca="1" si="316">MAX(0,MIN($R91,AR$11*$C91)-AQ$11*$C91)*AQ$10</f>
        <v>#VALUE!</v>
      </c>
      <c r="AS91" s="2" t="e">
        <f t="shared" ca="1" si="316"/>
        <v>#VALUE!</v>
      </c>
      <c r="AT91" s="2" t="e">
        <f t="shared" ca="1" si="316"/>
        <v>#VALUE!</v>
      </c>
      <c r="AU91" s="2" t="e">
        <f t="shared" ca="1" si="316"/>
        <v>#VALUE!</v>
      </c>
      <c r="AV91" s="2" t="e">
        <f t="shared" ca="1" si="316"/>
        <v>#VALUE!</v>
      </c>
      <c r="AW91" s="2" t="e">
        <f t="shared" ca="1" si="316"/>
        <v>#VALUE!</v>
      </c>
      <c r="AX91" s="2" t="e">
        <f t="shared" ca="1" si="316"/>
        <v>#VALUE!</v>
      </c>
      <c r="AY91" s="2" t="e">
        <f t="shared" ca="1" si="316"/>
        <v>#VALUE!</v>
      </c>
      <c r="AZ91" s="2" t="e">
        <f t="shared" ca="1" si="316"/>
        <v>#VALUE!</v>
      </c>
      <c r="BA91" s="25"/>
      <c r="BB91" s="2">
        <f t="shared" ca="1" si="269"/>
        <v>0</v>
      </c>
      <c r="BC91" s="2">
        <f t="shared" ref="BC91:BK91" ca="1" si="317">MAX(0,MIN($W91,BC$11*$C91)-BB$11*$C91)*BB$10</f>
        <v>0</v>
      </c>
      <c r="BD91" s="2">
        <f t="shared" ca="1" si="317"/>
        <v>0</v>
      </c>
      <c r="BE91" s="2">
        <f t="shared" ca="1" si="317"/>
        <v>0</v>
      </c>
      <c r="BF91" s="2">
        <f t="shared" ca="1" si="317"/>
        <v>0</v>
      </c>
      <c r="BG91" s="2">
        <f t="shared" ca="1" si="317"/>
        <v>0</v>
      </c>
      <c r="BH91" s="2">
        <f t="shared" ca="1" si="317"/>
        <v>0</v>
      </c>
      <c r="BI91" s="2">
        <f t="shared" ca="1" si="317"/>
        <v>0</v>
      </c>
      <c r="BJ91" s="2">
        <f t="shared" ca="1" si="317"/>
        <v>0</v>
      </c>
      <c r="BK91" s="2">
        <f t="shared" ca="1" si="317"/>
        <v>0</v>
      </c>
      <c r="BL91" s="25"/>
      <c r="BM91" s="145" t="e">
        <f t="shared" ca="1" si="271"/>
        <v>#VALUE!</v>
      </c>
      <c r="BN91" s="145" t="e">
        <f t="shared" ca="1" si="272"/>
        <v>#VALUE!</v>
      </c>
      <c r="BO91" s="145" t="e">
        <f t="shared" ca="1" si="273"/>
        <v>#VALUE!</v>
      </c>
      <c r="BP91" s="145" t="e">
        <f t="shared" ca="1" si="274"/>
        <v>#VALUE!</v>
      </c>
      <c r="BQ91" s="145">
        <f t="shared" ca="1" si="275"/>
        <v>0</v>
      </c>
      <c r="BR91" s="145" t="e">
        <f t="shared" ca="1" si="288"/>
        <v>#VALUE!</v>
      </c>
      <c r="BS91" s="145" t="e">
        <f t="shared" ca="1" si="276"/>
        <v>#VALUE!</v>
      </c>
      <c r="BT91" s="145" t="e">
        <f t="shared" ca="1" si="277"/>
        <v>#VALUE!</v>
      </c>
      <c r="BU91" s="145" t="e">
        <f t="shared" ca="1" si="278"/>
        <v>#VALUE!</v>
      </c>
      <c r="BV91" s="145" t="e">
        <f t="shared" ca="1" si="279"/>
        <v>#VALUE!</v>
      </c>
      <c r="BW91" s="146" t="e">
        <f t="shared" ca="1" si="280"/>
        <v>#VALUE!</v>
      </c>
      <c r="BX91" s="146" t="e">
        <f t="shared" ca="1" si="281"/>
        <v>#VALUE!</v>
      </c>
      <c r="BY91" s="146" t="e">
        <f t="shared" ca="1" si="282"/>
        <v>#VALUE!</v>
      </c>
    </row>
    <row r="92" spans="1:77" x14ac:dyDescent="0.25">
      <c r="A92" s="14">
        <f t="shared" si="283"/>
        <v>76</v>
      </c>
      <c r="B92" s="14">
        <f t="shared" si="283"/>
        <v>116</v>
      </c>
      <c r="C92" s="38">
        <f t="shared" si="253"/>
        <v>4.5041521642302165</v>
      </c>
      <c r="D92" s="25"/>
      <c r="E92" s="74">
        <f>+SUMIFS(Income!D86:K86,Income!D$5:K$5,FALSE)</f>
        <v>112603.80410575541</v>
      </c>
      <c r="F92" s="74" t="str">
        <f ca="1">+Investments!P87</f>
        <v>EXPIRED</v>
      </c>
      <c r="G92" s="74" t="e">
        <f t="shared" ca="1" si="257"/>
        <v>#VALUE!</v>
      </c>
      <c r="H92" s="5">
        <f>+SUMIFS(Income!D86:K86,Income!D$5:K$5,TRUE)</f>
        <v>0</v>
      </c>
      <c r="I92" s="5" t="str">
        <f ca="1">+Investments!Q87</f>
        <v>EXPIRED</v>
      </c>
      <c r="J92" s="5">
        <f ca="1">+RealEstate!G81</f>
        <v>0</v>
      </c>
      <c r="K92" s="5">
        <f t="shared" ca="1" si="258"/>
        <v>0</v>
      </c>
      <c r="L92" s="5">
        <f t="shared" ca="1" si="259"/>
        <v>0</v>
      </c>
      <c r="M92" s="25"/>
      <c r="N92" s="77" t="str">
        <f ca="1">+Investments!N87</f>
        <v>EXPIRED</v>
      </c>
      <c r="O92" s="77">
        <f t="shared" ca="1" si="191"/>
        <v>0</v>
      </c>
      <c r="P92" s="25"/>
      <c r="Q92" s="32" t="e">
        <f t="shared" ca="1" si="289"/>
        <v>#VALUE!</v>
      </c>
      <c r="R92" s="32" t="e">
        <f t="shared" ca="1" si="260"/>
        <v>#VALUE!</v>
      </c>
      <c r="S92" s="32" t="e">
        <f ca="1">+AQ92+RealEstate!H81</f>
        <v>#VALUE!</v>
      </c>
      <c r="T92" s="32">
        <f ca="1">+RealEstate!I81</f>
        <v>0</v>
      </c>
      <c r="U92" s="32" t="e">
        <f t="shared" ca="1" si="261"/>
        <v>#VALUE!</v>
      </c>
      <c r="V92" s="32" t="e">
        <f t="shared" ca="1" si="284"/>
        <v>#VALUE!</v>
      </c>
      <c r="W92" s="32">
        <f t="shared" ca="1" si="262"/>
        <v>0</v>
      </c>
      <c r="Z92" s="25"/>
      <c r="AA92" s="90" t="e">
        <f t="shared" ca="1" si="305"/>
        <v>#VALUE!</v>
      </c>
      <c r="AB92" s="25"/>
      <c r="AC92" s="2" t="e">
        <f t="shared" ca="1" si="263"/>
        <v>#VALUE!</v>
      </c>
      <c r="AD92" s="2" t="e">
        <f t="shared" ref="AD92:AL92" ca="1" si="318">MAX(0,MIN($V92,AD$11*$C92)-AC$11*$C92)*AC$10</f>
        <v>#VALUE!</v>
      </c>
      <c r="AE92" s="2" t="e">
        <f t="shared" ca="1" si="318"/>
        <v>#VALUE!</v>
      </c>
      <c r="AF92" s="2" t="e">
        <f t="shared" ca="1" si="318"/>
        <v>#VALUE!</v>
      </c>
      <c r="AG92" s="2" t="e">
        <f t="shared" ca="1" si="318"/>
        <v>#VALUE!</v>
      </c>
      <c r="AH92" s="2" t="e">
        <f t="shared" ca="1" si="318"/>
        <v>#VALUE!</v>
      </c>
      <c r="AI92" s="2" t="e">
        <f t="shared" ca="1" si="318"/>
        <v>#VALUE!</v>
      </c>
      <c r="AJ92" s="2" t="e">
        <f t="shared" ca="1" si="318"/>
        <v>#VALUE!</v>
      </c>
      <c r="AK92" s="2" t="e">
        <f t="shared" ca="1" si="318"/>
        <v>#VALUE!</v>
      </c>
      <c r="AL92" s="2" t="e">
        <f t="shared" ca="1" si="318"/>
        <v>#VALUE!</v>
      </c>
      <c r="AM92" s="25"/>
      <c r="AN92" s="2" t="e">
        <f t="shared" ca="1" si="265"/>
        <v>#VALUE!</v>
      </c>
      <c r="AO92" s="2" t="e">
        <f t="shared" ca="1" si="266"/>
        <v>#VALUE!</v>
      </c>
      <c r="AP92" s="25"/>
      <c r="AQ92" s="2" t="e">
        <f t="shared" ca="1" si="267"/>
        <v>#VALUE!</v>
      </c>
      <c r="AR92" s="2" t="e">
        <f t="shared" ref="AR92:AZ92" ca="1" si="319">MAX(0,MIN($R92,AR$11*$C92)-AQ$11*$C92)*AQ$10</f>
        <v>#VALUE!</v>
      </c>
      <c r="AS92" s="2" t="e">
        <f t="shared" ca="1" si="319"/>
        <v>#VALUE!</v>
      </c>
      <c r="AT92" s="2" t="e">
        <f t="shared" ca="1" si="319"/>
        <v>#VALUE!</v>
      </c>
      <c r="AU92" s="2" t="e">
        <f t="shared" ca="1" si="319"/>
        <v>#VALUE!</v>
      </c>
      <c r="AV92" s="2" t="e">
        <f t="shared" ca="1" si="319"/>
        <v>#VALUE!</v>
      </c>
      <c r="AW92" s="2" t="e">
        <f t="shared" ca="1" si="319"/>
        <v>#VALUE!</v>
      </c>
      <c r="AX92" s="2" t="e">
        <f t="shared" ca="1" si="319"/>
        <v>#VALUE!</v>
      </c>
      <c r="AY92" s="2" t="e">
        <f t="shared" ca="1" si="319"/>
        <v>#VALUE!</v>
      </c>
      <c r="AZ92" s="2" t="e">
        <f t="shared" ca="1" si="319"/>
        <v>#VALUE!</v>
      </c>
      <c r="BA92" s="25"/>
      <c r="BB92" s="2">
        <f t="shared" ca="1" si="269"/>
        <v>0</v>
      </c>
      <c r="BC92" s="2">
        <f t="shared" ref="BC92:BK92" ca="1" si="320">MAX(0,MIN($W92,BC$11*$C92)-BB$11*$C92)*BB$10</f>
        <v>0</v>
      </c>
      <c r="BD92" s="2">
        <f t="shared" ca="1" si="320"/>
        <v>0</v>
      </c>
      <c r="BE92" s="2">
        <f t="shared" ca="1" si="320"/>
        <v>0</v>
      </c>
      <c r="BF92" s="2">
        <f t="shared" ca="1" si="320"/>
        <v>0</v>
      </c>
      <c r="BG92" s="2">
        <f t="shared" ca="1" si="320"/>
        <v>0</v>
      </c>
      <c r="BH92" s="2">
        <f t="shared" ca="1" si="320"/>
        <v>0</v>
      </c>
      <c r="BI92" s="2">
        <f t="shared" ca="1" si="320"/>
        <v>0</v>
      </c>
      <c r="BJ92" s="2">
        <f t="shared" ca="1" si="320"/>
        <v>0</v>
      </c>
      <c r="BK92" s="2">
        <f t="shared" ca="1" si="320"/>
        <v>0</v>
      </c>
      <c r="BL92" s="25"/>
      <c r="BM92" s="145" t="e">
        <f t="shared" ca="1" si="271"/>
        <v>#VALUE!</v>
      </c>
      <c r="BN92" s="145" t="e">
        <f t="shared" ca="1" si="272"/>
        <v>#VALUE!</v>
      </c>
      <c r="BO92" s="145" t="e">
        <f t="shared" ca="1" si="273"/>
        <v>#VALUE!</v>
      </c>
      <c r="BP92" s="145" t="e">
        <f t="shared" ca="1" si="274"/>
        <v>#VALUE!</v>
      </c>
      <c r="BQ92" s="145">
        <f t="shared" ca="1" si="275"/>
        <v>0</v>
      </c>
      <c r="BR92" s="145" t="e">
        <f t="shared" ca="1" si="288"/>
        <v>#VALUE!</v>
      </c>
      <c r="BS92" s="145" t="e">
        <f t="shared" ca="1" si="276"/>
        <v>#VALUE!</v>
      </c>
      <c r="BT92" s="145" t="e">
        <f t="shared" ca="1" si="277"/>
        <v>#VALUE!</v>
      </c>
      <c r="BU92" s="145" t="e">
        <f t="shared" ca="1" si="278"/>
        <v>#VALUE!</v>
      </c>
      <c r="BV92" s="145" t="e">
        <f t="shared" ca="1" si="279"/>
        <v>#VALUE!</v>
      </c>
      <c r="BW92" s="146" t="e">
        <f t="shared" ca="1" si="280"/>
        <v>#VALUE!</v>
      </c>
      <c r="BX92" s="146" t="e">
        <f t="shared" ca="1" si="281"/>
        <v>#VALUE!</v>
      </c>
      <c r="BY92" s="146" t="e">
        <f t="shared" ca="1" si="282"/>
        <v>#VALUE!</v>
      </c>
    </row>
    <row r="93" spans="1:77" x14ac:dyDescent="0.25">
      <c r="A93" s="14">
        <f t="shared" si="283"/>
        <v>77</v>
      </c>
      <c r="B93" s="14">
        <f t="shared" si="283"/>
        <v>117</v>
      </c>
      <c r="C93" s="38">
        <f t="shared" si="253"/>
        <v>4.5942352075148207</v>
      </c>
      <c r="D93" s="25"/>
      <c r="E93" s="74">
        <f>+SUMIFS(Income!D87:K87,Income!D$5:K$5,FALSE)</f>
        <v>114855.88018787051</v>
      </c>
      <c r="F93" s="74" t="str">
        <f ca="1">+Investments!P88</f>
        <v>EXPIRED</v>
      </c>
      <c r="G93" s="74" t="e">
        <f t="shared" ca="1" si="257"/>
        <v>#VALUE!</v>
      </c>
      <c r="H93" s="5">
        <f>+SUMIFS(Income!D87:K87,Income!D$5:K$5,TRUE)</f>
        <v>0</v>
      </c>
      <c r="I93" s="5" t="str">
        <f ca="1">+Investments!Q88</f>
        <v>EXPIRED</v>
      </c>
      <c r="J93" s="5">
        <f ca="1">+RealEstate!G82</f>
        <v>0</v>
      </c>
      <c r="K93" s="5">
        <f t="shared" ca="1" si="258"/>
        <v>0</v>
      </c>
      <c r="L93" s="5">
        <f t="shared" ca="1" si="259"/>
        <v>0</v>
      </c>
      <c r="M93" s="25"/>
      <c r="N93" s="77" t="str">
        <f ca="1">+Investments!N88</f>
        <v>EXPIRED</v>
      </c>
      <c r="O93" s="77">
        <f t="shared" ca="1" si="191"/>
        <v>0</v>
      </c>
      <c r="P93" s="25"/>
      <c r="Q93" s="32" t="e">
        <f t="shared" ca="1" si="289"/>
        <v>#VALUE!</v>
      </c>
      <c r="R93" s="32" t="e">
        <f t="shared" ca="1" si="260"/>
        <v>#VALUE!</v>
      </c>
      <c r="S93" s="32" t="e">
        <f ca="1">+AQ93+RealEstate!H82</f>
        <v>#VALUE!</v>
      </c>
      <c r="T93" s="32">
        <f ca="1">+RealEstate!I82</f>
        <v>0</v>
      </c>
      <c r="U93" s="32" t="e">
        <f t="shared" ca="1" si="261"/>
        <v>#VALUE!</v>
      </c>
      <c r="V93" s="32" t="e">
        <f t="shared" ca="1" si="284"/>
        <v>#VALUE!</v>
      </c>
      <c r="W93" s="32">
        <f t="shared" ca="1" si="262"/>
        <v>0</v>
      </c>
      <c r="Z93" s="25"/>
      <c r="AA93" s="90" t="e">
        <f t="shared" ca="1" si="305"/>
        <v>#VALUE!</v>
      </c>
      <c r="AB93" s="25"/>
      <c r="AC93" s="2" t="e">
        <f t="shared" ca="1" si="263"/>
        <v>#VALUE!</v>
      </c>
      <c r="AD93" s="2" t="e">
        <f t="shared" ref="AD93:AL93" ca="1" si="321">MAX(0,MIN($V93,AD$11*$C93)-AC$11*$C93)*AC$10</f>
        <v>#VALUE!</v>
      </c>
      <c r="AE93" s="2" t="e">
        <f t="shared" ca="1" si="321"/>
        <v>#VALUE!</v>
      </c>
      <c r="AF93" s="2" t="e">
        <f t="shared" ca="1" si="321"/>
        <v>#VALUE!</v>
      </c>
      <c r="AG93" s="2" t="e">
        <f t="shared" ca="1" si="321"/>
        <v>#VALUE!</v>
      </c>
      <c r="AH93" s="2" t="e">
        <f t="shared" ca="1" si="321"/>
        <v>#VALUE!</v>
      </c>
      <c r="AI93" s="2" t="e">
        <f t="shared" ca="1" si="321"/>
        <v>#VALUE!</v>
      </c>
      <c r="AJ93" s="2" t="e">
        <f t="shared" ca="1" si="321"/>
        <v>#VALUE!</v>
      </c>
      <c r="AK93" s="2" t="e">
        <f t="shared" ca="1" si="321"/>
        <v>#VALUE!</v>
      </c>
      <c r="AL93" s="2" t="e">
        <f t="shared" ca="1" si="321"/>
        <v>#VALUE!</v>
      </c>
      <c r="AM93" s="25"/>
      <c r="AN93" s="2" t="e">
        <f t="shared" ca="1" si="265"/>
        <v>#VALUE!</v>
      </c>
      <c r="AO93" s="2" t="e">
        <f t="shared" ca="1" si="266"/>
        <v>#VALUE!</v>
      </c>
      <c r="AP93" s="25"/>
      <c r="AQ93" s="2" t="e">
        <f t="shared" ca="1" si="267"/>
        <v>#VALUE!</v>
      </c>
      <c r="AR93" s="2" t="e">
        <f t="shared" ref="AR93:AZ93" ca="1" si="322">MAX(0,MIN($R93,AR$11*$C93)-AQ$11*$C93)*AQ$10</f>
        <v>#VALUE!</v>
      </c>
      <c r="AS93" s="2" t="e">
        <f t="shared" ca="1" si="322"/>
        <v>#VALUE!</v>
      </c>
      <c r="AT93" s="2" t="e">
        <f t="shared" ca="1" si="322"/>
        <v>#VALUE!</v>
      </c>
      <c r="AU93" s="2" t="e">
        <f t="shared" ca="1" si="322"/>
        <v>#VALUE!</v>
      </c>
      <c r="AV93" s="2" t="e">
        <f t="shared" ca="1" si="322"/>
        <v>#VALUE!</v>
      </c>
      <c r="AW93" s="2" t="e">
        <f t="shared" ca="1" si="322"/>
        <v>#VALUE!</v>
      </c>
      <c r="AX93" s="2" t="e">
        <f t="shared" ca="1" si="322"/>
        <v>#VALUE!</v>
      </c>
      <c r="AY93" s="2" t="e">
        <f t="shared" ca="1" si="322"/>
        <v>#VALUE!</v>
      </c>
      <c r="AZ93" s="2" t="e">
        <f t="shared" ca="1" si="322"/>
        <v>#VALUE!</v>
      </c>
      <c r="BA93" s="25"/>
      <c r="BB93" s="2">
        <f t="shared" ca="1" si="269"/>
        <v>0</v>
      </c>
      <c r="BC93" s="2">
        <f t="shared" ref="BC93:BK93" ca="1" si="323">MAX(0,MIN($W93,BC$11*$C93)-BB$11*$C93)*BB$10</f>
        <v>0</v>
      </c>
      <c r="BD93" s="2">
        <f t="shared" ca="1" si="323"/>
        <v>0</v>
      </c>
      <c r="BE93" s="2">
        <f t="shared" ca="1" si="323"/>
        <v>0</v>
      </c>
      <c r="BF93" s="2">
        <f t="shared" ca="1" si="323"/>
        <v>0</v>
      </c>
      <c r="BG93" s="2">
        <f t="shared" ca="1" si="323"/>
        <v>0</v>
      </c>
      <c r="BH93" s="2">
        <f t="shared" ca="1" si="323"/>
        <v>0</v>
      </c>
      <c r="BI93" s="2">
        <f t="shared" ca="1" si="323"/>
        <v>0</v>
      </c>
      <c r="BJ93" s="2">
        <f t="shared" ca="1" si="323"/>
        <v>0</v>
      </c>
      <c r="BK93" s="2">
        <f t="shared" ca="1" si="323"/>
        <v>0</v>
      </c>
      <c r="BL93" s="25"/>
      <c r="BM93" s="145" t="e">
        <f t="shared" ca="1" si="271"/>
        <v>#VALUE!</v>
      </c>
      <c r="BN93" s="145" t="e">
        <f t="shared" ca="1" si="272"/>
        <v>#VALUE!</v>
      </c>
      <c r="BO93" s="145" t="e">
        <f t="shared" ca="1" si="273"/>
        <v>#VALUE!</v>
      </c>
      <c r="BP93" s="145" t="e">
        <f t="shared" ca="1" si="274"/>
        <v>#VALUE!</v>
      </c>
      <c r="BQ93" s="145">
        <f t="shared" ca="1" si="275"/>
        <v>0</v>
      </c>
      <c r="BR93" s="145" t="e">
        <f t="shared" ca="1" si="288"/>
        <v>#VALUE!</v>
      </c>
      <c r="BS93" s="145" t="e">
        <f t="shared" ca="1" si="276"/>
        <v>#VALUE!</v>
      </c>
      <c r="BT93" s="145" t="e">
        <f t="shared" ca="1" si="277"/>
        <v>#VALUE!</v>
      </c>
      <c r="BU93" s="145" t="e">
        <f t="shared" ca="1" si="278"/>
        <v>#VALUE!</v>
      </c>
      <c r="BV93" s="145" t="e">
        <f t="shared" ca="1" si="279"/>
        <v>#VALUE!</v>
      </c>
      <c r="BW93" s="146" t="e">
        <f t="shared" ca="1" si="280"/>
        <v>#VALUE!</v>
      </c>
      <c r="BX93" s="146" t="e">
        <f t="shared" ca="1" si="281"/>
        <v>#VALUE!</v>
      </c>
      <c r="BY93" s="146" t="e">
        <f t="shared" ca="1" si="282"/>
        <v>#VALUE!</v>
      </c>
    </row>
    <row r="94" spans="1:77" x14ac:dyDescent="0.25">
      <c r="A94" s="14">
        <f t="shared" si="283"/>
        <v>78</v>
      </c>
      <c r="B94" s="14">
        <f t="shared" si="283"/>
        <v>118</v>
      </c>
      <c r="C94" s="38">
        <f t="shared" si="253"/>
        <v>4.6861199116651173</v>
      </c>
      <c r="D94" s="25"/>
      <c r="E94" s="74">
        <f>+SUMIFS(Income!D88:K88,Income!D$5:K$5,FALSE)</f>
        <v>117152.99779162793</v>
      </c>
      <c r="F94" s="74" t="str">
        <f ca="1">+Investments!P89</f>
        <v>EXPIRED</v>
      </c>
      <c r="G94" s="74" t="e">
        <f t="shared" ca="1" si="257"/>
        <v>#VALUE!</v>
      </c>
      <c r="H94" s="5">
        <f>+SUMIFS(Income!D88:K88,Income!D$5:K$5,TRUE)</f>
        <v>0</v>
      </c>
      <c r="I94" s="5" t="str">
        <f ca="1">+Investments!Q89</f>
        <v>EXPIRED</v>
      </c>
      <c r="J94" s="5">
        <f ca="1">+RealEstate!G83</f>
        <v>0</v>
      </c>
      <c r="K94" s="5">
        <f t="shared" ca="1" si="258"/>
        <v>0</v>
      </c>
      <c r="L94" s="5">
        <f t="shared" ca="1" si="259"/>
        <v>0</v>
      </c>
      <c r="M94" s="25"/>
      <c r="N94" s="77" t="str">
        <f ca="1">+Investments!N89</f>
        <v>EXPIRED</v>
      </c>
      <c r="O94" s="77">
        <f t="shared" ca="1" si="191"/>
        <v>0</v>
      </c>
      <c r="P94" s="25"/>
      <c r="Q94" s="32" t="e">
        <f t="shared" ca="1" si="289"/>
        <v>#VALUE!</v>
      </c>
      <c r="R94" s="32" t="e">
        <f t="shared" ca="1" si="260"/>
        <v>#VALUE!</v>
      </c>
      <c r="S94" s="32" t="e">
        <f ca="1">+AQ94+RealEstate!H83</f>
        <v>#VALUE!</v>
      </c>
      <c r="T94" s="32">
        <f ca="1">+RealEstate!I83</f>
        <v>0</v>
      </c>
      <c r="U94" s="32" t="e">
        <f t="shared" ca="1" si="261"/>
        <v>#VALUE!</v>
      </c>
      <c r="V94" s="32" t="e">
        <f t="shared" ca="1" si="284"/>
        <v>#VALUE!</v>
      </c>
      <c r="W94" s="32">
        <f t="shared" ca="1" si="262"/>
        <v>0</v>
      </c>
      <c r="Z94" s="25"/>
      <c r="AA94" s="90" t="e">
        <f t="shared" ca="1" si="305"/>
        <v>#VALUE!</v>
      </c>
      <c r="AB94" s="25"/>
      <c r="AC94" s="2" t="e">
        <f t="shared" ca="1" si="263"/>
        <v>#VALUE!</v>
      </c>
      <c r="AD94" s="2" t="e">
        <f t="shared" ref="AD94:AL94" ca="1" si="324">MAX(0,MIN($V94,AD$11*$C94)-AC$11*$C94)*AC$10</f>
        <v>#VALUE!</v>
      </c>
      <c r="AE94" s="2" t="e">
        <f t="shared" ca="1" si="324"/>
        <v>#VALUE!</v>
      </c>
      <c r="AF94" s="2" t="e">
        <f t="shared" ca="1" si="324"/>
        <v>#VALUE!</v>
      </c>
      <c r="AG94" s="2" t="e">
        <f t="shared" ca="1" si="324"/>
        <v>#VALUE!</v>
      </c>
      <c r="AH94" s="2" t="e">
        <f t="shared" ca="1" si="324"/>
        <v>#VALUE!</v>
      </c>
      <c r="AI94" s="2" t="e">
        <f t="shared" ca="1" si="324"/>
        <v>#VALUE!</v>
      </c>
      <c r="AJ94" s="2" t="e">
        <f t="shared" ca="1" si="324"/>
        <v>#VALUE!</v>
      </c>
      <c r="AK94" s="2" t="e">
        <f t="shared" ca="1" si="324"/>
        <v>#VALUE!</v>
      </c>
      <c r="AL94" s="2" t="e">
        <f t="shared" ca="1" si="324"/>
        <v>#VALUE!</v>
      </c>
      <c r="AM94" s="25"/>
      <c r="AN94" s="2" t="e">
        <f t="shared" ca="1" si="265"/>
        <v>#VALUE!</v>
      </c>
      <c r="AO94" s="2" t="e">
        <f t="shared" ca="1" si="266"/>
        <v>#VALUE!</v>
      </c>
      <c r="AP94" s="25"/>
      <c r="AQ94" s="2" t="e">
        <f t="shared" ca="1" si="267"/>
        <v>#VALUE!</v>
      </c>
      <c r="AR94" s="2" t="e">
        <f t="shared" ref="AR94:AZ94" ca="1" si="325">MAX(0,MIN($R94,AR$11*$C94)-AQ$11*$C94)*AQ$10</f>
        <v>#VALUE!</v>
      </c>
      <c r="AS94" s="2" t="e">
        <f t="shared" ca="1" si="325"/>
        <v>#VALUE!</v>
      </c>
      <c r="AT94" s="2" t="e">
        <f t="shared" ca="1" si="325"/>
        <v>#VALUE!</v>
      </c>
      <c r="AU94" s="2" t="e">
        <f t="shared" ca="1" si="325"/>
        <v>#VALUE!</v>
      </c>
      <c r="AV94" s="2" t="e">
        <f t="shared" ca="1" si="325"/>
        <v>#VALUE!</v>
      </c>
      <c r="AW94" s="2" t="e">
        <f t="shared" ca="1" si="325"/>
        <v>#VALUE!</v>
      </c>
      <c r="AX94" s="2" t="e">
        <f t="shared" ca="1" si="325"/>
        <v>#VALUE!</v>
      </c>
      <c r="AY94" s="2" t="e">
        <f t="shared" ca="1" si="325"/>
        <v>#VALUE!</v>
      </c>
      <c r="AZ94" s="2" t="e">
        <f t="shared" ca="1" si="325"/>
        <v>#VALUE!</v>
      </c>
      <c r="BA94" s="25"/>
      <c r="BB94" s="2">
        <f t="shared" ca="1" si="269"/>
        <v>0</v>
      </c>
      <c r="BC94" s="2">
        <f t="shared" ref="BC94:BK94" ca="1" si="326">MAX(0,MIN($W94,BC$11*$C94)-BB$11*$C94)*BB$10</f>
        <v>0</v>
      </c>
      <c r="BD94" s="2">
        <f t="shared" ca="1" si="326"/>
        <v>0</v>
      </c>
      <c r="BE94" s="2">
        <f t="shared" ca="1" si="326"/>
        <v>0</v>
      </c>
      <c r="BF94" s="2">
        <f t="shared" ca="1" si="326"/>
        <v>0</v>
      </c>
      <c r="BG94" s="2">
        <f t="shared" ca="1" si="326"/>
        <v>0</v>
      </c>
      <c r="BH94" s="2">
        <f t="shared" ca="1" si="326"/>
        <v>0</v>
      </c>
      <c r="BI94" s="2">
        <f t="shared" ca="1" si="326"/>
        <v>0</v>
      </c>
      <c r="BJ94" s="2">
        <f t="shared" ca="1" si="326"/>
        <v>0</v>
      </c>
      <c r="BK94" s="2">
        <f t="shared" ca="1" si="326"/>
        <v>0</v>
      </c>
      <c r="BL94" s="25"/>
      <c r="BM94" s="145" t="e">
        <f t="shared" ca="1" si="271"/>
        <v>#VALUE!</v>
      </c>
      <c r="BN94" s="145" t="e">
        <f t="shared" ca="1" si="272"/>
        <v>#VALUE!</v>
      </c>
      <c r="BO94" s="145" t="e">
        <f t="shared" ca="1" si="273"/>
        <v>#VALUE!</v>
      </c>
      <c r="BP94" s="145" t="e">
        <f t="shared" ca="1" si="274"/>
        <v>#VALUE!</v>
      </c>
      <c r="BQ94" s="145">
        <f t="shared" ca="1" si="275"/>
        <v>0</v>
      </c>
      <c r="BR94" s="145" t="e">
        <f t="shared" ca="1" si="288"/>
        <v>#VALUE!</v>
      </c>
      <c r="BS94" s="145" t="e">
        <f t="shared" ca="1" si="276"/>
        <v>#VALUE!</v>
      </c>
      <c r="BT94" s="145" t="e">
        <f t="shared" ca="1" si="277"/>
        <v>#VALUE!</v>
      </c>
      <c r="BU94" s="145" t="e">
        <f t="shared" ca="1" si="278"/>
        <v>#VALUE!</v>
      </c>
      <c r="BV94" s="145" t="e">
        <f t="shared" ca="1" si="279"/>
        <v>#VALUE!</v>
      </c>
      <c r="BW94" s="146" t="e">
        <f t="shared" ca="1" si="280"/>
        <v>#VALUE!</v>
      </c>
      <c r="BX94" s="146" t="e">
        <f t="shared" ca="1" si="281"/>
        <v>#VALUE!</v>
      </c>
      <c r="BY94" s="146" t="e">
        <f t="shared" ca="1" si="282"/>
        <v>#VALUE!</v>
      </c>
    </row>
    <row r="95" spans="1:77" x14ac:dyDescent="0.25">
      <c r="A95" s="14">
        <f t="shared" si="283"/>
        <v>79</v>
      </c>
      <c r="B95" s="14">
        <f t="shared" si="283"/>
        <v>119</v>
      </c>
      <c r="C95" s="38">
        <f t="shared" si="253"/>
        <v>4.7798423098984184</v>
      </c>
      <c r="D95" s="25"/>
      <c r="E95" s="74">
        <f>+SUMIFS(Income!D89:K89,Income!D$5:K$5,FALSE)</f>
        <v>119496.05774746047</v>
      </c>
      <c r="F95" s="74" t="str">
        <f ca="1">+Investments!P90</f>
        <v>EXPIRED</v>
      </c>
      <c r="G95" s="74" t="e">
        <f t="shared" ca="1" si="257"/>
        <v>#VALUE!</v>
      </c>
      <c r="H95" s="5">
        <f>+SUMIFS(Income!D89:K89,Income!D$5:K$5,TRUE)</f>
        <v>0</v>
      </c>
      <c r="I95" s="5" t="str">
        <f ca="1">+Investments!Q90</f>
        <v>EXPIRED</v>
      </c>
      <c r="J95" s="5">
        <f ca="1">+RealEstate!G84</f>
        <v>0</v>
      </c>
      <c r="K95" s="5">
        <f t="shared" ca="1" si="258"/>
        <v>0</v>
      </c>
      <c r="L95" s="5">
        <f t="shared" ca="1" si="259"/>
        <v>0</v>
      </c>
      <c r="M95" s="25"/>
      <c r="N95" s="77" t="str">
        <f ca="1">+Investments!N90</f>
        <v>EXPIRED</v>
      </c>
      <c r="O95" s="77">
        <f t="shared" ca="1" si="191"/>
        <v>0</v>
      </c>
      <c r="P95" s="25"/>
      <c r="Q95" s="32" t="e">
        <f t="shared" ca="1" si="289"/>
        <v>#VALUE!</v>
      </c>
      <c r="R95" s="32" t="e">
        <f t="shared" ca="1" si="260"/>
        <v>#VALUE!</v>
      </c>
      <c r="S95" s="32" t="e">
        <f ca="1">+AQ95+RealEstate!H84</f>
        <v>#VALUE!</v>
      </c>
      <c r="T95" s="32">
        <f ca="1">+RealEstate!I84</f>
        <v>0</v>
      </c>
      <c r="U95" s="32" t="e">
        <f t="shared" ca="1" si="261"/>
        <v>#VALUE!</v>
      </c>
      <c r="V95" s="32" t="e">
        <f t="shared" ca="1" si="284"/>
        <v>#VALUE!</v>
      </c>
      <c r="W95" s="32">
        <f t="shared" ca="1" si="262"/>
        <v>0</v>
      </c>
      <c r="Z95" s="25"/>
      <c r="AA95" s="90" t="e">
        <f t="shared" ca="1" si="305"/>
        <v>#VALUE!</v>
      </c>
      <c r="AB95" s="25"/>
      <c r="AC95" s="2" t="e">
        <f t="shared" ca="1" si="263"/>
        <v>#VALUE!</v>
      </c>
      <c r="AD95" s="2" t="e">
        <f t="shared" ref="AD95:AL95" ca="1" si="327">MAX(0,MIN($V95,AD$11*$C95)-AC$11*$C95)*AC$10</f>
        <v>#VALUE!</v>
      </c>
      <c r="AE95" s="2" t="e">
        <f t="shared" ca="1" si="327"/>
        <v>#VALUE!</v>
      </c>
      <c r="AF95" s="2" t="e">
        <f t="shared" ca="1" si="327"/>
        <v>#VALUE!</v>
      </c>
      <c r="AG95" s="2" t="e">
        <f t="shared" ca="1" si="327"/>
        <v>#VALUE!</v>
      </c>
      <c r="AH95" s="2" t="e">
        <f t="shared" ca="1" si="327"/>
        <v>#VALUE!</v>
      </c>
      <c r="AI95" s="2" t="e">
        <f t="shared" ca="1" si="327"/>
        <v>#VALUE!</v>
      </c>
      <c r="AJ95" s="2" t="e">
        <f t="shared" ca="1" si="327"/>
        <v>#VALUE!</v>
      </c>
      <c r="AK95" s="2" t="e">
        <f t="shared" ca="1" si="327"/>
        <v>#VALUE!</v>
      </c>
      <c r="AL95" s="2" t="e">
        <f t="shared" ca="1" si="327"/>
        <v>#VALUE!</v>
      </c>
      <c r="AM95" s="25"/>
      <c r="AN95" s="2" t="e">
        <f t="shared" ca="1" si="265"/>
        <v>#VALUE!</v>
      </c>
      <c r="AO95" s="2" t="e">
        <f t="shared" ca="1" si="266"/>
        <v>#VALUE!</v>
      </c>
      <c r="AP95" s="25"/>
      <c r="AQ95" s="2" t="e">
        <f t="shared" ca="1" si="267"/>
        <v>#VALUE!</v>
      </c>
      <c r="AR95" s="2" t="e">
        <f t="shared" ref="AR95:AZ95" ca="1" si="328">MAX(0,MIN($R95,AR$11*$C95)-AQ$11*$C95)*AQ$10</f>
        <v>#VALUE!</v>
      </c>
      <c r="AS95" s="2" t="e">
        <f t="shared" ca="1" si="328"/>
        <v>#VALUE!</v>
      </c>
      <c r="AT95" s="2" t="e">
        <f t="shared" ca="1" si="328"/>
        <v>#VALUE!</v>
      </c>
      <c r="AU95" s="2" t="e">
        <f t="shared" ca="1" si="328"/>
        <v>#VALUE!</v>
      </c>
      <c r="AV95" s="2" t="e">
        <f t="shared" ca="1" si="328"/>
        <v>#VALUE!</v>
      </c>
      <c r="AW95" s="2" t="e">
        <f t="shared" ca="1" si="328"/>
        <v>#VALUE!</v>
      </c>
      <c r="AX95" s="2" t="e">
        <f t="shared" ca="1" si="328"/>
        <v>#VALUE!</v>
      </c>
      <c r="AY95" s="2" t="e">
        <f t="shared" ca="1" si="328"/>
        <v>#VALUE!</v>
      </c>
      <c r="AZ95" s="2" t="e">
        <f t="shared" ca="1" si="328"/>
        <v>#VALUE!</v>
      </c>
      <c r="BA95" s="25"/>
      <c r="BB95" s="2">
        <f t="shared" ca="1" si="269"/>
        <v>0</v>
      </c>
      <c r="BC95" s="2">
        <f t="shared" ref="BC95:BK95" ca="1" si="329">MAX(0,MIN($W95,BC$11*$C95)-BB$11*$C95)*BB$10</f>
        <v>0</v>
      </c>
      <c r="BD95" s="2">
        <f t="shared" ca="1" si="329"/>
        <v>0</v>
      </c>
      <c r="BE95" s="2">
        <f t="shared" ca="1" si="329"/>
        <v>0</v>
      </c>
      <c r="BF95" s="2">
        <f t="shared" ca="1" si="329"/>
        <v>0</v>
      </c>
      <c r="BG95" s="2">
        <f t="shared" ca="1" si="329"/>
        <v>0</v>
      </c>
      <c r="BH95" s="2">
        <f t="shared" ca="1" si="329"/>
        <v>0</v>
      </c>
      <c r="BI95" s="2">
        <f t="shared" ca="1" si="329"/>
        <v>0</v>
      </c>
      <c r="BJ95" s="2">
        <f t="shared" ca="1" si="329"/>
        <v>0</v>
      </c>
      <c r="BK95" s="2">
        <f t="shared" ca="1" si="329"/>
        <v>0</v>
      </c>
      <c r="BL95" s="25"/>
      <c r="BM95" s="145" t="e">
        <f t="shared" ca="1" si="271"/>
        <v>#VALUE!</v>
      </c>
      <c r="BN95" s="145" t="e">
        <f t="shared" ca="1" si="272"/>
        <v>#VALUE!</v>
      </c>
      <c r="BO95" s="145" t="e">
        <f t="shared" ca="1" si="273"/>
        <v>#VALUE!</v>
      </c>
      <c r="BP95" s="145" t="e">
        <f t="shared" ca="1" si="274"/>
        <v>#VALUE!</v>
      </c>
      <c r="BQ95" s="145">
        <f t="shared" ca="1" si="275"/>
        <v>0</v>
      </c>
      <c r="BR95" s="145" t="e">
        <f t="shared" ca="1" si="288"/>
        <v>#VALUE!</v>
      </c>
      <c r="BS95" s="145" t="e">
        <f t="shared" ca="1" si="276"/>
        <v>#VALUE!</v>
      </c>
      <c r="BT95" s="145" t="e">
        <f t="shared" ca="1" si="277"/>
        <v>#VALUE!</v>
      </c>
      <c r="BU95" s="145" t="e">
        <f t="shared" ca="1" si="278"/>
        <v>#VALUE!</v>
      </c>
      <c r="BV95" s="145" t="e">
        <f t="shared" ca="1" si="279"/>
        <v>#VALUE!</v>
      </c>
      <c r="BW95" s="146" t="e">
        <f t="shared" ca="1" si="280"/>
        <v>#VALUE!</v>
      </c>
      <c r="BX95" s="146" t="e">
        <f t="shared" ca="1" si="281"/>
        <v>#VALUE!</v>
      </c>
      <c r="BY95" s="146" t="e">
        <f t="shared" ca="1" si="282"/>
        <v>#VALUE!</v>
      </c>
    </row>
    <row r="96" spans="1:77" x14ac:dyDescent="0.25">
      <c r="A96" s="14">
        <f t="shared" si="283"/>
        <v>80</v>
      </c>
      <c r="B96" s="14">
        <f t="shared" si="283"/>
        <v>120</v>
      </c>
      <c r="C96" s="38">
        <f t="shared" si="253"/>
        <v>4.8754391560963874</v>
      </c>
      <c r="D96" s="25"/>
      <c r="E96" s="74">
        <f>+SUMIFS(Income!D90:K90,Income!D$5:K$5,FALSE)</f>
        <v>121885.97890240968</v>
      </c>
      <c r="F96" s="74" t="str">
        <f ca="1">+Investments!P91</f>
        <v>EXPIRED</v>
      </c>
      <c r="G96" s="74" t="e">
        <f t="shared" ca="1" si="257"/>
        <v>#VALUE!</v>
      </c>
      <c r="H96" s="5">
        <f>+SUMIFS(Income!D90:K90,Income!D$5:K$5,TRUE)</f>
        <v>0</v>
      </c>
      <c r="I96" s="5" t="str">
        <f ca="1">+Investments!Q91</f>
        <v>EXPIRED</v>
      </c>
      <c r="J96" s="5">
        <f ca="1">+RealEstate!G85</f>
        <v>0</v>
      </c>
      <c r="K96" s="5">
        <f t="shared" ca="1" si="258"/>
        <v>0</v>
      </c>
      <c r="L96" s="5">
        <f t="shared" ca="1" si="259"/>
        <v>0</v>
      </c>
      <c r="M96" s="25"/>
      <c r="N96" s="77" t="str">
        <f ca="1">+Investments!N91</f>
        <v>EXPIRED</v>
      </c>
      <c r="O96" s="77">
        <f t="shared" ca="1" si="191"/>
        <v>0</v>
      </c>
      <c r="P96" s="25"/>
      <c r="Q96" s="32" t="e">
        <f t="shared" ca="1" si="289"/>
        <v>#VALUE!</v>
      </c>
      <c r="R96" s="32" t="e">
        <f t="shared" ca="1" si="260"/>
        <v>#VALUE!</v>
      </c>
      <c r="S96" s="32" t="e">
        <f ca="1">+AQ96+RealEstate!H85</f>
        <v>#VALUE!</v>
      </c>
      <c r="T96" s="32">
        <f ca="1">+RealEstate!I85</f>
        <v>0</v>
      </c>
      <c r="U96" s="32" t="e">
        <f t="shared" ca="1" si="261"/>
        <v>#VALUE!</v>
      </c>
      <c r="V96" s="32" t="e">
        <f t="shared" ca="1" si="284"/>
        <v>#VALUE!</v>
      </c>
      <c r="W96" s="32">
        <f t="shared" ca="1" si="262"/>
        <v>0</v>
      </c>
      <c r="Z96" s="25"/>
      <c r="AA96" s="90" t="e">
        <f t="shared" ca="1" si="305"/>
        <v>#VALUE!</v>
      </c>
      <c r="AB96" s="25"/>
      <c r="AC96" s="2" t="e">
        <f t="shared" ca="1" si="263"/>
        <v>#VALUE!</v>
      </c>
      <c r="AD96" s="2" t="e">
        <f t="shared" ref="AD96:AL96" ca="1" si="330">MAX(0,MIN($V96,AD$11*$C96)-AC$11*$C96)*AC$10</f>
        <v>#VALUE!</v>
      </c>
      <c r="AE96" s="2" t="e">
        <f t="shared" ca="1" si="330"/>
        <v>#VALUE!</v>
      </c>
      <c r="AF96" s="2" t="e">
        <f t="shared" ca="1" si="330"/>
        <v>#VALUE!</v>
      </c>
      <c r="AG96" s="2" t="e">
        <f t="shared" ca="1" si="330"/>
        <v>#VALUE!</v>
      </c>
      <c r="AH96" s="2" t="e">
        <f t="shared" ca="1" si="330"/>
        <v>#VALUE!</v>
      </c>
      <c r="AI96" s="2" t="e">
        <f t="shared" ca="1" si="330"/>
        <v>#VALUE!</v>
      </c>
      <c r="AJ96" s="2" t="e">
        <f t="shared" ca="1" si="330"/>
        <v>#VALUE!</v>
      </c>
      <c r="AK96" s="2" t="e">
        <f t="shared" ca="1" si="330"/>
        <v>#VALUE!</v>
      </c>
      <c r="AL96" s="2" t="e">
        <f t="shared" ca="1" si="330"/>
        <v>#VALUE!</v>
      </c>
      <c r="AM96" s="25"/>
      <c r="AN96" s="2" t="e">
        <f t="shared" ca="1" si="265"/>
        <v>#VALUE!</v>
      </c>
      <c r="AO96" s="2" t="e">
        <f t="shared" ca="1" si="266"/>
        <v>#VALUE!</v>
      </c>
      <c r="AP96" s="25"/>
      <c r="AQ96" s="2" t="e">
        <f t="shared" ca="1" si="267"/>
        <v>#VALUE!</v>
      </c>
      <c r="AR96" s="2" t="e">
        <f t="shared" ref="AR96:AZ96" ca="1" si="331">MAX(0,MIN($R96,AR$11*$C96)-AQ$11*$C96)*AQ$10</f>
        <v>#VALUE!</v>
      </c>
      <c r="AS96" s="2" t="e">
        <f t="shared" ca="1" si="331"/>
        <v>#VALUE!</v>
      </c>
      <c r="AT96" s="2" t="e">
        <f t="shared" ca="1" si="331"/>
        <v>#VALUE!</v>
      </c>
      <c r="AU96" s="2" t="e">
        <f t="shared" ca="1" si="331"/>
        <v>#VALUE!</v>
      </c>
      <c r="AV96" s="2" t="e">
        <f t="shared" ca="1" si="331"/>
        <v>#VALUE!</v>
      </c>
      <c r="AW96" s="2" t="e">
        <f t="shared" ca="1" si="331"/>
        <v>#VALUE!</v>
      </c>
      <c r="AX96" s="2" t="e">
        <f t="shared" ca="1" si="331"/>
        <v>#VALUE!</v>
      </c>
      <c r="AY96" s="2" t="e">
        <f t="shared" ca="1" si="331"/>
        <v>#VALUE!</v>
      </c>
      <c r="AZ96" s="2" t="e">
        <f t="shared" ca="1" si="331"/>
        <v>#VALUE!</v>
      </c>
      <c r="BA96" s="25"/>
      <c r="BB96" s="2">
        <f t="shared" ca="1" si="269"/>
        <v>0</v>
      </c>
      <c r="BC96" s="2">
        <f t="shared" ref="BC96:BK96" ca="1" si="332">MAX(0,MIN($W96,BC$11*$C96)-BB$11*$C96)*BB$10</f>
        <v>0</v>
      </c>
      <c r="BD96" s="2">
        <f t="shared" ca="1" si="332"/>
        <v>0</v>
      </c>
      <c r="BE96" s="2">
        <f t="shared" ca="1" si="332"/>
        <v>0</v>
      </c>
      <c r="BF96" s="2">
        <f t="shared" ca="1" si="332"/>
        <v>0</v>
      </c>
      <c r="BG96" s="2">
        <f t="shared" ca="1" si="332"/>
        <v>0</v>
      </c>
      <c r="BH96" s="2">
        <f t="shared" ca="1" si="332"/>
        <v>0</v>
      </c>
      <c r="BI96" s="2">
        <f t="shared" ca="1" si="332"/>
        <v>0</v>
      </c>
      <c r="BJ96" s="2">
        <f t="shared" ca="1" si="332"/>
        <v>0</v>
      </c>
      <c r="BK96" s="2">
        <f t="shared" ca="1" si="332"/>
        <v>0</v>
      </c>
      <c r="BL96" s="25"/>
      <c r="BM96" s="145" t="e">
        <f t="shared" ca="1" si="271"/>
        <v>#VALUE!</v>
      </c>
      <c r="BN96" s="145" t="e">
        <f t="shared" ca="1" si="272"/>
        <v>#VALUE!</v>
      </c>
      <c r="BO96" s="145" t="e">
        <f t="shared" ca="1" si="273"/>
        <v>#VALUE!</v>
      </c>
      <c r="BP96" s="145" t="e">
        <f t="shared" ca="1" si="274"/>
        <v>#VALUE!</v>
      </c>
      <c r="BQ96" s="145">
        <f t="shared" ca="1" si="275"/>
        <v>0</v>
      </c>
      <c r="BR96" s="145" t="e">
        <f t="shared" ca="1" si="288"/>
        <v>#VALUE!</v>
      </c>
      <c r="BS96" s="145" t="e">
        <f t="shared" ca="1" si="276"/>
        <v>#VALUE!</v>
      </c>
      <c r="BT96" s="145" t="e">
        <f t="shared" ca="1" si="277"/>
        <v>#VALUE!</v>
      </c>
      <c r="BU96" s="145" t="e">
        <f t="shared" ca="1" si="278"/>
        <v>#VALUE!</v>
      </c>
      <c r="BV96" s="145" t="e">
        <f t="shared" ca="1" si="279"/>
        <v>#VALUE!</v>
      </c>
      <c r="BW96" s="146" t="e">
        <f t="shared" ca="1" si="280"/>
        <v>#VALUE!</v>
      </c>
      <c r="BX96" s="146" t="e">
        <f t="shared" ca="1" si="281"/>
        <v>#VALUE!</v>
      </c>
      <c r="BY96" s="146" t="e">
        <f t="shared" ca="1" si="282"/>
        <v>#VALUE!</v>
      </c>
    </row>
    <row r="97" spans="1:77" x14ac:dyDescent="0.25">
      <c r="A97" s="14">
        <f t="shared" si="283"/>
        <v>81</v>
      </c>
      <c r="B97" s="14">
        <f t="shared" si="283"/>
        <v>121</v>
      </c>
      <c r="C97" s="38">
        <f t="shared" si="253"/>
        <v>4.9729479392183151</v>
      </c>
      <c r="D97" s="25"/>
      <c r="E97" s="74">
        <f>+SUMIFS(Income!D91:K91,Income!D$5:K$5,FALSE)</f>
        <v>124323.69848045788</v>
      </c>
      <c r="F97" s="74" t="str">
        <f ca="1">+Investments!P92</f>
        <v>EXPIRED</v>
      </c>
      <c r="G97" s="74" t="e">
        <f t="shared" ca="1" si="257"/>
        <v>#VALUE!</v>
      </c>
      <c r="H97" s="5">
        <f>+SUMIFS(Income!D91:K91,Income!D$5:K$5,TRUE)</f>
        <v>0</v>
      </c>
      <c r="I97" s="5" t="str">
        <f ca="1">+Investments!Q92</f>
        <v>EXPIRED</v>
      </c>
      <c r="J97" s="5">
        <f ca="1">+RealEstate!G86</f>
        <v>0</v>
      </c>
      <c r="K97" s="5">
        <f t="shared" ca="1" si="258"/>
        <v>0</v>
      </c>
      <c r="L97" s="5">
        <f t="shared" ca="1" si="259"/>
        <v>0</v>
      </c>
      <c r="M97" s="25"/>
      <c r="N97" s="77" t="str">
        <f ca="1">+Investments!N92</f>
        <v>EXPIRED</v>
      </c>
      <c r="O97" s="77">
        <f t="shared" ca="1" si="191"/>
        <v>0</v>
      </c>
      <c r="P97" s="25"/>
      <c r="Q97" s="32" t="e">
        <f t="shared" ca="1" si="289"/>
        <v>#VALUE!</v>
      </c>
      <c r="R97" s="32" t="e">
        <f t="shared" ca="1" si="260"/>
        <v>#VALUE!</v>
      </c>
      <c r="S97" s="32" t="e">
        <f ca="1">+AQ97+RealEstate!H86</f>
        <v>#VALUE!</v>
      </c>
      <c r="T97" s="32">
        <f ca="1">+RealEstate!I86</f>
        <v>0</v>
      </c>
      <c r="U97" s="32" t="e">
        <f t="shared" ca="1" si="261"/>
        <v>#VALUE!</v>
      </c>
      <c r="V97" s="32" t="e">
        <f t="shared" ca="1" si="284"/>
        <v>#VALUE!</v>
      </c>
      <c r="W97" s="32">
        <f t="shared" ca="1" si="262"/>
        <v>0</v>
      </c>
      <c r="Z97" s="25"/>
      <c r="AA97" s="90" t="e">
        <f t="shared" ca="1" si="305"/>
        <v>#VALUE!</v>
      </c>
      <c r="AB97" s="25"/>
      <c r="AC97" s="2" t="e">
        <f t="shared" ca="1" si="263"/>
        <v>#VALUE!</v>
      </c>
      <c r="AD97" s="2" t="e">
        <f t="shared" ref="AD97:AL97" ca="1" si="333">MAX(0,MIN($V97,AD$11*$C97)-AC$11*$C97)*AC$10</f>
        <v>#VALUE!</v>
      </c>
      <c r="AE97" s="2" t="e">
        <f t="shared" ca="1" si="333"/>
        <v>#VALUE!</v>
      </c>
      <c r="AF97" s="2" t="e">
        <f t="shared" ca="1" si="333"/>
        <v>#VALUE!</v>
      </c>
      <c r="AG97" s="2" t="e">
        <f t="shared" ca="1" si="333"/>
        <v>#VALUE!</v>
      </c>
      <c r="AH97" s="2" t="e">
        <f t="shared" ca="1" si="333"/>
        <v>#VALUE!</v>
      </c>
      <c r="AI97" s="2" t="e">
        <f t="shared" ca="1" si="333"/>
        <v>#VALUE!</v>
      </c>
      <c r="AJ97" s="2" t="e">
        <f t="shared" ca="1" si="333"/>
        <v>#VALUE!</v>
      </c>
      <c r="AK97" s="2" t="e">
        <f t="shared" ca="1" si="333"/>
        <v>#VALUE!</v>
      </c>
      <c r="AL97" s="2" t="e">
        <f t="shared" ca="1" si="333"/>
        <v>#VALUE!</v>
      </c>
      <c r="AM97" s="25"/>
      <c r="AN97" s="2" t="e">
        <f t="shared" ca="1" si="265"/>
        <v>#VALUE!</v>
      </c>
      <c r="AO97" s="2" t="e">
        <f t="shared" ca="1" si="266"/>
        <v>#VALUE!</v>
      </c>
      <c r="AP97" s="25"/>
      <c r="AQ97" s="2" t="e">
        <f t="shared" ca="1" si="267"/>
        <v>#VALUE!</v>
      </c>
      <c r="AR97" s="2" t="e">
        <f t="shared" ref="AR97:AZ97" ca="1" si="334">MAX(0,MIN($R97,AR$11*$C97)-AQ$11*$C97)*AQ$10</f>
        <v>#VALUE!</v>
      </c>
      <c r="AS97" s="2" t="e">
        <f t="shared" ca="1" si="334"/>
        <v>#VALUE!</v>
      </c>
      <c r="AT97" s="2" t="e">
        <f t="shared" ca="1" si="334"/>
        <v>#VALUE!</v>
      </c>
      <c r="AU97" s="2" t="e">
        <f t="shared" ca="1" si="334"/>
        <v>#VALUE!</v>
      </c>
      <c r="AV97" s="2" t="e">
        <f t="shared" ca="1" si="334"/>
        <v>#VALUE!</v>
      </c>
      <c r="AW97" s="2" t="e">
        <f t="shared" ca="1" si="334"/>
        <v>#VALUE!</v>
      </c>
      <c r="AX97" s="2" t="e">
        <f t="shared" ca="1" si="334"/>
        <v>#VALUE!</v>
      </c>
      <c r="AY97" s="2" t="e">
        <f t="shared" ca="1" si="334"/>
        <v>#VALUE!</v>
      </c>
      <c r="AZ97" s="2" t="e">
        <f t="shared" ca="1" si="334"/>
        <v>#VALUE!</v>
      </c>
      <c r="BA97" s="25"/>
      <c r="BB97" s="2">
        <f t="shared" ca="1" si="269"/>
        <v>0</v>
      </c>
      <c r="BC97" s="2">
        <f t="shared" ref="BC97:BK97" ca="1" si="335">MAX(0,MIN($W97,BC$11*$C97)-BB$11*$C97)*BB$10</f>
        <v>0</v>
      </c>
      <c r="BD97" s="2">
        <f t="shared" ca="1" si="335"/>
        <v>0</v>
      </c>
      <c r="BE97" s="2">
        <f t="shared" ca="1" si="335"/>
        <v>0</v>
      </c>
      <c r="BF97" s="2">
        <f t="shared" ca="1" si="335"/>
        <v>0</v>
      </c>
      <c r="BG97" s="2">
        <f t="shared" ca="1" si="335"/>
        <v>0</v>
      </c>
      <c r="BH97" s="2">
        <f t="shared" ca="1" si="335"/>
        <v>0</v>
      </c>
      <c r="BI97" s="2">
        <f t="shared" ca="1" si="335"/>
        <v>0</v>
      </c>
      <c r="BJ97" s="2">
        <f t="shared" ca="1" si="335"/>
        <v>0</v>
      </c>
      <c r="BK97" s="2">
        <f t="shared" ca="1" si="335"/>
        <v>0</v>
      </c>
      <c r="BL97" s="25"/>
      <c r="BM97" s="145" t="e">
        <f t="shared" ca="1" si="271"/>
        <v>#VALUE!</v>
      </c>
      <c r="BN97" s="145" t="e">
        <f t="shared" ca="1" si="272"/>
        <v>#VALUE!</v>
      </c>
      <c r="BO97" s="145" t="e">
        <f t="shared" ca="1" si="273"/>
        <v>#VALUE!</v>
      </c>
      <c r="BP97" s="145" t="e">
        <f t="shared" ca="1" si="274"/>
        <v>#VALUE!</v>
      </c>
      <c r="BQ97" s="145">
        <f t="shared" ca="1" si="275"/>
        <v>0</v>
      </c>
      <c r="BR97" s="145" t="e">
        <f t="shared" ca="1" si="288"/>
        <v>#VALUE!</v>
      </c>
      <c r="BS97" s="145" t="e">
        <f t="shared" ca="1" si="276"/>
        <v>#VALUE!</v>
      </c>
      <c r="BT97" s="145" t="e">
        <f t="shared" ca="1" si="277"/>
        <v>#VALUE!</v>
      </c>
      <c r="BU97" s="145" t="e">
        <f t="shared" ca="1" si="278"/>
        <v>#VALUE!</v>
      </c>
      <c r="BV97" s="145" t="e">
        <f t="shared" ca="1" si="279"/>
        <v>#VALUE!</v>
      </c>
      <c r="BW97" s="146" t="e">
        <f t="shared" ca="1" si="280"/>
        <v>#VALUE!</v>
      </c>
      <c r="BX97" s="146" t="e">
        <f t="shared" ca="1" si="281"/>
        <v>#VALUE!</v>
      </c>
      <c r="BY97" s="146" t="e">
        <f t="shared" ca="1" si="282"/>
        <v>#VALUE!</v>
      </c>
    </row>
    <row r="98" spans="1:77" x14ac:dyDescent="0.25">
      <c r="A98" s="14">
        <f t="shared" ref="A98:B113" si="336">+A97+1</f>
        <v>82</v>
      </c>
      <c r="B98" s="14">
        <f t="shared" si="336"/>
        <v>122</v>
      </c>
      <c r="C98" s="38">
        <f t="shared" si="253"/>
        <v>5.0724068980026811</v>
      </c>
      <c r="D98" s="25"/>
      <c r="E98" s="74">
        <f>+SUMIFS(Income!D92:K92,Income!D$5:K$5,FALSE)</f>
        <v>126810.17245006702</v>
      </c>
      <c r="F98" s="74" t="str">
        <f ca="1">+Investments!P93</f>
        <v>EXPIRED</v>
      </c>
      <c r="G98" s="74" t="e">
        <f t="shared" ca="1" si="257"/>
        <v>#VALUE!</v>
      </c>
      <c r="H98" s="5">
        <f>+SUMIFS(Income!D92:K92,Income!D$5:K$5,TRUE)</f>
        <v>0</v>
      </c>
      <c r="I98" s="5" t="str">
        <f ca="1">+Investments!Q93</f>
        <v>EXPIRED</v>
      </c>
      <c r="J98" s="5">
        <f ca="1">+RealEstate!G87</f>
        <v>0</v>
      </c>
      <c r="K98" s="5">
        <f t="shared" ca="1" si="258"/>
        <v>0</v>
      </c>
      <c r="L98" s="5">
        <f t="shared" ca="1" si="259"/>
        <v>0</v>
      </c>
      <c r="M98" s="25"/>
      <c r="N98" s="77" t="str">
        <f ca="1">+Investments!N93</f>
        <v>EXPIRED</v>
      </c>
      <c r="O98" s="77">
        <f t="shared" ca="1" si="191"/>
        <v>0</v>
      </c>
      <c r="P98" s="25"/>
      <c r="Q98" s="32" t="e">
        <f t="shared" ca="1" si="289"/>
        <v>#VALUE!</v>
      </c>
      <c r="R98" s="32" t="e">
        <f t="shared" ca="1" si="260"/>
        <v>#VALUE!</v>
      </c>
      <c r="S98" s="32" t="e">
        <f ca="1">+AQ98+RealEstate!H87</f>
        <v>#VALUE!</v>
      </c>
      <c r="T98" s="32">
        <f ca="1">+RealEstate!I87</f>
        <v>0</v>
      </c>
      <c r="U98" s="32" t="e">
        <f t="shared" ca="1" si="261"/>
        <v>#VALUE!</v>
      </c>
      <c r="V98" s="32" t="e">
        <f t="shared" ca="1" si="284"/>
        <v>#VALUE!</v>
      </c>
      <c r="W98" s="32">
        <f t="shared" ca="1" si="262"/>
        <v>0</v>
      </c>
      <c r="Z98" s="25"/>
      <c r="AA98" s="90" t="e">
        <f t="shared" ca="1" si="305"/>
        <v>#VALUE!</v>
      </c>
      <c r="AB98" s="25"/>
      <c r="AC98" s="2" t="e">
        <f t="shared" ca="1" si="263"/>
        <v>#VALUE!</v>
      </c>
      <c r="AD98" s="2" t="e">
        <f t="shared" ref="AD98:AL98" ca="1" si="337">MAX(0,MIN($V98,AD$11*$C98)-AC$11*$C98)*AC$10</f>
        <v>#VALUE!</v>
      </c>
      <c r="AE98" s="2" t="e">
        <f t="shared" ca="1" si="337"/>
        <v>#VALUE!</v>
      </c>
      <c r="AF98" s="2" t="e">
        <f t="shared" ca="1" si="337"/>
        <v>#VALUE!</v>
      </c>
      <c r="AG98" s="2" t="e">
        <f t="shared" ca="1" si="337"/>
        <v>#VALUE!</v>
      </c>
      <c r="AH98" s="2" t="e">
        <f t="shared" ca="1" si="337"/>
        <v>#VALUE!</v>
      </c>
      <c r="AI98" s="2" t="e">
        <f t="shared" ca="1" si="337"/>
        <v>#VALUE!</v>
      </c>
      <c r="AJ98" s="2" t="e">
        <f t="shared" ca="1" si="337"/>
        <v>#VALUE!</v>
      </c>
      <c r="AK98" s="2" t="e">
        <f t="shared" ca="1" si="337"/>
        <v>#VALUE!</v>
      </c>
      <c r="AL98" s="2" t="e">
        <f t="shared" ca="1" si="337"/>
        <v>#VALUE!</v>
      </c>
      <c r="AM98" s="25"/>
      <c r="AN98" s="2" t="e">
        <f t="shared" ca="1" si="265"/>
        <v>#VALUE!</v>
      </c>
      <c r="AO98" s="2" t="e">
        <f t="shared" ca="1" si="266"/>
        <v>#VALUE!</v>
      </c>
      <c r="AP98" s="25"/>
      <c r="AQ98" s="2" t="e">
        <f t="shared" ca="1" si="267"/>
        <v>#VALUE!</v>
      </c>
      <c r="AR98" s="2" t="e">
        <f t="shared" ref="AR98:AZ98" ca="1" si="338">MAX(0,MIN($R98,AR$11*$C98)-AQ$11*$C98)*AQ$10</f>
        <v>#VALUE!</v>
      </c>
      <c r="AS98" s="2" t="e">
        <f t="shared" ca="1" si="338"/>
        <v>#VALUE!</v>
      </c>
      <c r="AT98" s="2" t="e">
        <f t="shared" ca="1" si="338"/>
        <v>#VALUE!</v>
      </c>
      <c r="AU98" s="2" t="e">
        <f t="shared" ca="1" si="338"/>
        <v>#VALUE!</v>
      </c>
      <c r="AV98" s="2" t="e">
        <f t="shared" ca="1" si="338"/>
        <v>#VALUE!</v>
      </c>
      <c r="AW98" s="2" t="e">
        <f t="shared" ca="1" si="338"/>
        <v>#VALUE!</v>
      </c>
      <c r="AX98" s="2" t="e">
        <f t="shared" ca="1" si="338"/>
        <v>#VALUE!</v>
      </c>
      <c r="AY98" s="2" t="e">
        <f t="shared" ca="1" si="338"/>
        <v>#VALUE!</v>
      </c>
      <c r="AZ98" s="2" t="e">
        <f t="shared" ca="1" si="338"/>
        <v>#VALUE!</v>
      </c>
      <c r="BA98" s="25"/>
      <c r="BB98" s="2">
        <f t="shared" ca="1" si="269"/>
        <v>0</v>
      </c>
      <c r="BC98" s="2">
        <f t="shared" ref="BC98:BK98" ca="1" si="339">MAX(0,MIN($W98,BC$11*$C98)-BB$11*$C98)*BB$10</f>
        <v>0</v>
      </c>
      <c r="BD98" s="2">
        <f t="shared" ca="1" si="339"/>
        <v>0</v>
      </c>
      <c r="BE98" s="2">
        <f t="shared" ca="1" si="339"/>
        <v>0</v>
      </c>
      <c r="BF98" s="2">
        <f t="shared" ca="1" si="339"/>
        <v>0</v>
      </c>
      <c r="BG98" s="2">
        <f t="shared" ca="1" si="339"/>
        <v>0</v>
      </c>
      <c r="BH98" s="2">
        <f t="shared" ca="1" si="339"/>
        <v>0</v>
      </c>
      <c r="BI98" s="2">
        <f t="shared" ca="1" si="339"/>
        <v>0</v>
      </c>
      <c r="BJ98" s="2">
        <f t="shared" ca="1" si="339"/>
        <v>0</v>
      </c>
      <c r="BK98" s="2">
        <f t="shared" ca="1" si="339"/>
        <v>0</v>
      </c>
      <c r="BL98" s="25"/>
      <c r="BM98" s="145" t="e">
        <f t="shared" ca="1" si="271"/>
        <v>#VALUE!</v>
      </c>
      <c r="BN98" s="145" t="e">
        <f t="shared" ca="1" si="272"/>
        <v>#VALUE!</v>
      </c>
      <c r="BO98" s="145" t="e">
        <f t="shared" ca="1" si="273"/>
        <v>#VALUE!</v>
      </c>
      <c r="BP98" s="145" t="e">
        <f t="shared" ca="1" si="274"/>
        <v>#VALUE!</v>
      </c>
      <c r="BQ98" s="145">
        <f t="shared" ca="1" si="275"/>
        <v>0</v>
      </c>
      <c r="BR98" s="145" t="e">
        <f t="shared" ca="1" si="288"/>
        <v>#VALUE!</v>
      </c>
      <c r="BS98" s="145" t="e">
        <f t="shared" ca="1" si="276"/>
        <v>#VALUE!</v>
      </c>
      <c r="BT98" s="145" t="e">
        <f t="shared" ca="1" si="277"/>
        <v>#VALUE!</v>
      </c>
      <c r="BU98" s="145" t="e">
        <f t="shared" ca="1" si="278"/>
        <v>#VALUE!</v>
      </c>
      <c r="BV98" s="145" t="e">
        <f t="shared" ca="1" si="279"/>
        <v>#VALUE!</v>
      </c>
      <c r="BW98" s="146" t="e">
        <f t="shared" ca="1" si="280"/>
        <v>#VALUE!</v>
      </c>
      <c r="BX98" s="146" t="e">
        <f t="shared" ca="1" si="281"/>
        <v>#VALUE!</v>
      </c>
      <c r="BY98" s="146" t="e">
        <f t="shared" ca="1" si="282"/>
        <v>#VALUE!</v>
      </c>
    </row>
    <row r="99" spans="1:77" x14ac:dyDescent="0.25">
      <c r="A99" s="14">
        <f t="shared" si="336"/>
        <v>83</v>
      </c>
      <c r="B99" s="14">
        <f t="shared" si="336"/>
        <v>123</v>
      </c>
      <c r="C99" s="38">
        <f t="shared" si="253"/>
        <v>5.1738550359627347</v>
      </c>
      <c r="D99" s="25"/>
      <c r="E99" s="74">
        <f>+SUMIFS(Income!D93:K93,Income!D$5:K$5,FALSE)</f>
        <v>129346.37589906837</v>
      </c>
      <c r="F99" s="74" t="str">
        <f ca="1">+Investments!P94</f>
        <v>EXPIRED</v>
      </c>
      <c r="G99" s="74" t="e">
        <f t="shared" ca="1" si="257"/>
        <v>#VALUE!</v>
      </c>
      <c r="H99" s="5">
        <f>+SUMIFS(Income!D93:K93,Income!D$5:K$5,TRUE)</f>
        <v>0</v>
      </c>
      <c r="I99" s="5" t="str">
        <f ca="1">+Investments!Q94</f>
        <v>EXPIRED</v>
      </c>
      <c r="J99" s="5">
        <f ca="1">+RealEstate!G88</f>
        <v>0</v>
      </c>
      <c r="K99" s="5">
        <f t="shared" ca="1" si="258"/>
        <v>0</v>
      </c>
      <c r="L99" s="5">
        <f t="shared" ca="1" si="259"/>
        <v>0</v>
      </c>
      <c r="M99" s="25"/>
      <c r="N99" s="77" t="str">
        <f ca="1">+Investments!N94</f>
        <v>EXPIRED</v>
      </c>
      <c r="O99" s="77">
        <f t="shared" ca="1" si="191"/>
        <v>0</v>
      </c>
      <c r="P99" s="25"/>
      <c r="Q99" s="32" t="e">
        <f t="shared" ca="1" si="289"/>
        <v>#VALUE!</v>
      </c>
      <c r="R99" s="32" t="e">
        <f t="shared" ca="1" si="260"/>
        <v>#VALUE!</v>
      </c>
      <c r="S99" s="32" t="e">
        <f ca="1">+AQ99+RealEstate!H88</f>
        <v>#VALUE!</v>
      </c>
      <c r="T99" s="32">
        <f ca="1">+RealEstate!I88</f>
        <v>0</v>
      </c>
      <c r="U99" s="32" t="e">
        <f t="shared" ca="1" si="261"/>
        <v>#VALUE!</v>
      </c>
      <c r="V99" s="32" t="e">
        <f t="shared" ca="1" si="284"/>
        <v>#VALUE!</v>
      </c>
      <c r="W99" s="32">
        <f t="shared" ca="1" si="262"/>
        <v>0</v>
      </c>
      <c r="Z99" s="25"/>
      <c r="AA99" s="90" t="e">
        <f t="shared" ca="1" si="305"/>
        <v>#VALUE!</v>
      </c>
      <c r="AB99" s="25"/>
      <c r="AC99" s="2" t="e">
        <f t="shared" ca="1" si="263"/>
        <v>#VALUE!</v>
      </c>
      <c r="AD99" s="2" t="e">
        <f t="shared" ref="AD99:AL99" ca="1" si="340">MAX(0,MIN($V99,AD$11*$C99)-AC$11*$C99)*AC$10</f>
        <v>#VALUE!</v>
      </c>
      <c r="AE99" s="2" t="e">
        <f t="shared" ca="1" si="340"/>
        <v>#VALUE!</v>
      </c>
      <c r="AF99" s="2" t="e">
        <f t="shared" ca="1" si="340"/>
        <v>#VALUE!</v>
      </c>
      <c r="AG99" s="2" t="e">
        <f t="shared" ca="1" si="340"/>
        <v>#VALUE!</v>
      </c>
      <c r="AH99" s="2" t="e">
        <f t="shared" ca="1" si="340"/>
        <v>#VALUE!</v>
      </c>
      <c r="AI99" s="2" t="e">
        <f t="shared" ca="1" si="340"/>
        <v>#VALUE!</v>
      </c>
      <c r="AJ99" s="2" t="e">
        <f t="shared" ca="1" si="340"/>
        <v>#VALUE!</v>
      </c>
      <c r="AK99" s="2" t="e">
        <f t="shared" ca="1" si="340"/>
        <v>#VALUE!</v>
      </c>
      <c r="AL99" s="2" t="e">
        <f t="shared" ca="1" si="340"/>
        <v>#VALUE!</v>
      </c>
      <c r="AM99" s="25"/>
      <c r="AN99" s="2" t="e">
        <f t="shared" ca="1" si="265"/>
        <v>#VALUE!</v>
      </c>
      <c r="AO99" s="2" t="e">
        <f t="shared" ca="1" si="266"/>
        <v>#VALUE!</v>
      </c>
      <c r="AP99" s="25"/>
      <c r="AQ99" s="2" t="e">
        <f t="shared" ca="1" si="267"/>
        <v>#VALUE!</v>
      </c>
      <c r="AR99" s="2" t="e">
        <f t="shared" ref="AR99:AZ99" ca="1" si="341">MAX(0,MIN($R99,AR$11*$C99)-AQ$11*$C99)*AQ$10</f>
        <v>#VALUE!</v>
      </c>
      <c r="AS99" s="2" t="e">
        <f t="shared" ca="1" si="341"/>
        <v>#VALUE!</v>
      </c>
      <c r="AT99" s="2" t="e">
        <f t="shared" ca="1" si="341"/>
        <v>#VALUE!</v>
      </c>
      <c r="AU99" s="2" t="e">
        <f t="shared" ca="1" si="341"/>
        <v>#VALUE!</v>
      </c>
      <c r="AV99" s="2" t="e">
        <f t="shared" ca="1" si="341"/>
        <v>#VALUE!</v>
      </c>
      <c r="AW99" s="2" t="e">
        <f t="shared" ca="1" si="341"/>
        <v>#VALUE!</v>
      </c>
      <c r="AX99" s="2" t="e">
        <f t="shared" ca="1" si="341"/>
        <v>#VALUE!</v>
      </c>
      <c r="AY99" s="2" t="e">
        <f t="shared" ca="1" si="341"/>
        <v>#VALUE!</v>
      </c>
      <c r="AZ99" s="2" t="e">
        <f t="shared" ca="1" si="341"/>
        <v>#VALUE!</v>
      </c>
      <c r="BA99" s="25"/>
      <c r="BB99" s="2">
        <f t="shared" ca="1" si="269"/>
        <v>0</v>
      </c>
      <c r="BC99" s="2">
        <f t="shared" ref="BC99:BK99" ca="1" si="342">MAX(0,MIN($W99,BC$11*$C99)-BB$11*$C99)*BB$10</f>
        <v>0</v>
      </c>
      <c r="BD99" s="2">
        <f t="shared" ca="1" si="342"/>
        <v>0</v>
      </c>
      <c r="BE99" s="2">
        <f t="shared" ca="1" si="342"/>
        <v>0</v>
      </c>
      <c r="BF99" s="2">
        <f t="shared" ca="1" si="342"/>
        <v>0</v>
      </c>
      <c r="BG99" s="2">
        <f t="shared" ca="1" si="342"/>
        <v>0</v>
      </c>
      <c r="BH99" s="2">
        <f t="shared" ca="1" si="342"/>
        <v>0</v>
      </c>
      <c r="BI99" s="2">
        <f t="shared" ca="1" si="342"/>
        <v>0</v>
      </c>
      <c r="BJ99" s="2">
        <f t="shared" ca="1" si="342"/>
        <v>0</v>
      </c>
      <c r="BK99" s="2">
        <f t="shared" ca="1" si="342"/>
        <v>0</v>
      </c>
      <c r="BL99" s="25"/>
      <c r="BM99" s="145" t="e">
        <f t="shared" ca="1" si="271"/>
        <v>#VALUE!</v>
      </c>
      <c r="BN99" s="145" t="e">
        <f t="shared" ca="1" si="272"/>
        <v>#VALUE!</v>
      </c>
      <c r="BO99" s="145" t="e">
        <f t="shared" ca="1" si="273"/>
        <v>#VALUE!</v>
      </c>
      <c r="BP99" s="145" t="e">
        <f t="shared" ca="1" si="274"/>
        <v>#VALUE!</v>
      </c>
      <c r="BQ99" s="145">
        <f t="shared" ca="1" si="275"/>
        <v>0</v>
      </c>
      <c r="BR99" s="145" t="e">
        <f t="shared" ca="1" si="288"/>
        <v>#VALUE!</v>
      </c>
      <c r="BS99" s="145" t="e">
        <f t="shared" ca="1" si="276"/>
        <v>#VALUE!</v>
      </c>
      <c r="BT99" s="145" t="e">
        <f t="shared" ca="1" si="277"/>
        <v>#VALUE!</v>
      </c>
      <c r="BU99" s="145" t="e">
        <f t="shared" ca="1" si="278"/>
        <v>#VALUE!</v>
      </c>
      <c r="BV99" s="145" t="e">
        <f t="shared" ca="1" si="279"/>
        <v>#VALUE!</v>
      </c>
      <c r="BW99" s="146" t="e">
        <f t="shared" ca="1" si="280"/>
        <v>#VALUE!</v>
      </c>
      <c r="BX99" s="146" t="e">
        <f t="shared" ca="1" si="281"/>
        <v>#VALUE!</v>
      </c>
      <c r="BY99" s="146" t="e">
        <f t="shared" ca="1" si="282"/>
        <v>#VALUE!</v>
      </c>
    </row>
    <row r="100" spans="1:77" x14ac:dyDescent="0.25">
      <c r="A100" s="14">
        <f t="shared" si="336"/>
        <v>84</v>
      </c>
      <c r="B100" s="14">
        <f t="shared" si="336"/>
        <v>124</v>
      </c>
      <c r="C100" s="38">
        <f t="shared" si="253"/>
        <v>5.2773321366819896</v>
      </c>
      <c r="D100" s="25"/>
      <c r="E100" s="74">
        <f>+SUMIFS(Income!D94:K94,Income!D$5:K$5,FALSE)</f>
        <v>131933.30341704973</v>
      </c>
      <c r="F100" s="74" t="str">
        <f ca="1">+Investments!P95</f>
        <v>EXPIRED</v>
      </c>
      <c r="G100" s="74" t="e">
        <f t="shared" ca="1" si="257"/>
        <v>#VALUE!</v>
      </c>
      <c r="H100" s="5">
        <f>+SUMIFS(Income!D94:K94,Income!D$5:K$5,TRUE)</f>
        <v>0</v>
      </c>
      <c r="I100" s="5" t="str">
        <f ca="1">+Investments!Q95</f>
        <v>EXPIRED</v>
      </c>
      <c r="J100" s="5">
        <f ca="1">+RealEstate!G89</f>
        <v>0</v>
      </c>
      <c r="K100" s="5">
        <f t="shared" ca="1" si="258"/>
        <v>0</v>
      </c>
      <c r="L100" s="5">
        <f t="shared" ca="1" si="259"/>
        <v>0</v>
      </c>
      <c r="M100" s="25"/>
      <c r="N100" s="77" t="str">
        <f ca="1">+Investments!N95</f>
        <v>EXPIRED</v>
      </c>
      <c r="O100" s="77">
        <f t="shared" ca="1" si="191"/>
        <v>0</v>
      </c>
      <c r="P100" s="25"/>
      <c r="Q100" s="32" t="e">
        <f t="shared" ca="1" si="289"/>
        <v>#VALUE!</v>
      </c>
      <c r="R100" s="32" t="e">
        <f t="shared" ca="1" si="260"/>
        <v>#VALUE!</v>
      </c>
      <c r="S100" s="32" t="e">
        <f ca="1">+AQ100+RealEstate!H89</f>
        <v>#VALUE!</v>
      </c>
      <c r="T100" s="32">
        <f ca="1">+RealEstate!I89</f>
        <v>0</v>
      </c>
      <c r="U100" s="32" t="e">
        <f t="shared" ca="1" si="261"/>
        <v>#VALUE!</v>
      </c>
      <c r="V100" s="32" t="e">
        <f t="shared" ca="1" si="284"/>
        <v>#VALUE!</v>
      </c>
      <c r="W100" s="32">
        <f t="shared" ca="1" si="262"/>
        <v>0</v>
      </c>
      <c r="Z100" s="25"/>
      <c r="AA100" s="90" t="e">
        <f t="shared" ca="1" si="305"/>
        <v>#VALUE!</v>
      </c>
      <c r="AB100" s="25"/>
      <c r="AC100" s="2" t="e">
        <f t="shared" ca="1" si="263"/>
        <v>#VALUE!</v>
      </c>
      <c r="AD100" s="2" t="e">
        <f t="shared" ref="AD100:AL100" ca="1" si="343">MAX(0,MIN($V100,AD$11*$C100)-AC$11*$C100)*AC$10</f>
        <v>#VALUE!</v>
      </c>
      <c r="AE100" s="2" t="e">
        <f t="shared" ca="1" si="343"/>
        <v>#VALUE!</v>
      </c>
      <c r="AF100" s="2" t="e">
        <f t="shared" ca="1" si="343"/>
        <v>#VALUE!</v>
      </c>
      <c r="AG100" s="2" t="e">
        <f t="shared" ca="1" si="343"/>
        <v>#VALUE!</v>
      </c>
      <c r="AH100" s="2" t="e">
        <f t="shared" ca="1" si="343"/>
        <v>#VALUE!</v>
      </c>
      <c r="AI100" s="2" t="e">
        <f t="shared" ca="1" si="343"/>
        <v>#VALUE!</v>
      </c>
      <c r="AJ100" s="2" t="e">
        <f t="shared" ca="1" si="343"/>
        <v>#VALUE!</v>
      </c>
      <c r="AK100" s="2" t="e">
        <f t="shared" ca="1" si="343"/>
        <v>#VALUE!</v>
      </c>
      <c r="AL100" s="2" t="e">
        <f t="shared" ca="1" si="343"/>
        <v>#VALUE!</v>
      </c>
      <c r="AM100" s="25"/>
      <c r="AN100" s="2" t="e">
        <f t="shared" ca="1" si="265"/>
        <v>#VALUE!</v>
      </c>
      <c r="AO100" s="2" t="e">
        <f t="shared" ca="1" si="266"/>
        <v>#VALUE!</v>
      </c>
      <c r="AP100" s="25"/>
      <c r="AQ100" s="2" t="e">
        <f t="shared" ca="1" si="267"/>
        <v>#VALUE!</v>
      </c>
      <c r="AR100" s="2" t="e">
        <f t="shared" ref="AR100:AZ100" ca="1" si="344">MAX(0,MIN($R100,AR$11*$C100)-AQ$11*$C100)*AQ$10</f>
        <v>#VALUE!</v>
      </c>
      <c r="AS100" s="2" t="e">
        <f t="shared" ca="1" si="344"/>
        <v>#VALUE!</v>
      </c>
      <c r="AT100" s="2" t="e">
        <f t="shared" ca="1" si="344"/>
        <v>#VALUE!</v>
      </c>
      <c r="AU100" s="2" t="e">
        <f t="shared" ca="1" si="344"/>
        <v>#VALUE!</v>
      </c>
      <c r="AV100" s="2" t="e">
        <f t="shared" ca="1" si="344"/>
        <v>#VALUE!</v>
      </c>
      <c r="AW100" s="2" t="e">
        <f t="shared" ca="1" si="344"/>
        <v>#VALUE!</v>
      </c>
      <c r="AX100" s="2" t="e">
        <f t="shared" ca="1" si="344"/>
        <v>#VALUE!</v>
      </c>
      <c r="AY100" s="2" t="e">
        <f t="shared" ca="1" si="344"/>
        <v>#VALUE!</v>
      </c>
      <c r="AZ100" s="2" t="e">
        <f t="shared" ca="1" si="344"/>
        <v>#VALUE!</v>
      </c>
      <c r="BA100" s="25"/>
      <c r="BB100" s="2">
        <f t="shared" ca="1" si="269"/>
        <v>0</v>
      </c>
      <c r="BC100" s="2">
        <f t="shared" ref="BC100:BK100" ca="1" si="345">MAX(0,MIN($W100,BC$11*$C100)-BB$11*$C100)*BB$10</f>
        <v>0</v>
      </c>
      <c r="BD100" s="2">
        <f t="shared" ca="1" si="345"/>
        <v>0</v>
      </c>
      <c r="BE100" s="2">
        <f t="shared" ca="1" si="345"/>
        <v>0</v>
      </c>
      <c r="BF100" s="2">
        <f t="shared" ca="1" si="345"/>
        <v>0</v>
      </c>
      <c r="BG100" s="2">
        <f t="shared" ca="1" si="345"/>
        <v>0</v>
      </c>
      <c r="BH100" s="2">
        <f t="shared" ca="1" si="345"/>
        <v>0</v>
      </c>
      <c r="BI100" s="2">
        <f t="shared" ca="1" si="345"/>
        <v>0</v>
      </c>
      <c r="BJ100" s="2">
        <f t="shared" ca="1" si="345"/>
        <v>0</v>
      </c>
      <c r="BK100" s="2">
        <f t="shared" ca="1" si="345"/>
        <v>0</v>
      </c>
      <c r="BL100" s="25"/>
      <c r="BM100" s="145" t="e">
        <f t="shared" ca="1" si="271"/>
        <v>#VALUE!</v>
      </c>
      <c r="BN100" s="145" t="e">
        <f t="shared" ca="1" si="272"/>
        <v>#VALUE!</v>
      </c>
      <c r="BO100" s="145" t="e">
        <f t="shared" ca="1" si="273"/>
        <v>#VALUE!</v>
      </c>
      <c r="BP100" s="145" t="e">
        <f t="shared" ca="1" si="274"/>
        <v>#VALUE!</v>
      </c>
      <c r="BQ100" s="145">
        <f t="shared" ca="1" si="275"/>
        <v>0</v>
      </c>
      <c r="BR100" s="145" t="e">
        <f t="shared" ca="1" si="288"/>
        <v>#VALUE!</v>
      </c>
      <c r="BS100" s="145" t="e">
        <f t="shared" ca="1" si="276"/>
        <v>#VALUE!</v>
      </c>
      <c r="BT100" s="145" t="e">
        <f t="shared" ca="1" si="277"/>
        <v>#VALUE!</v>
      </c>
      <c r="BU100" s="145" t="e">
        <f t="shared" ca="1" si="278"/>
        <v>#VALUE!</v>
      </c>
      <c r="BV100" s="145" t="e">
        <f t="shared" ca="1" si="279"/>
        <v>#VALUE!</v>
      </c>
      <c r="BW100" s="146" t="e">
        <f t="shared" ca="1" si="280"/>
        <v>#VALUE!</v>
      </c>
      <c r="BX100" s="146" t="e">
        <f t="shared" ca="1" si="281"/>
        <v>#VALUE!</v>
      </c>
      <c r="BY100" s="146" t="e">
        <f t="shared" ca="1" si="282"/>
        <v>#VALUE!</v>
      </c>
    </row>
    <row r="101" spans="1:77" x14ac:dyDescent="0.25">
      <c r="A101" s="14">
        <f t="shared" si="336"/>
        <v>85</v>
      </c>
      <c r="B101" s="14">
        <f t="shared" si="336"/>
        <v>125</v>
      </c>
      <c r="C101" s="38">
        <f t="shared" si="253"/>
        <v>5.3828787794156296</v>
      </c>
      <c r="D101" s="25"/>
      <c r="E101" s="74">
        <f>+SUMIFS(Income!D95:K95,Income!D$5:K$5,FALSE)</f>
        <v>134571.96948539073</v>
      </c>
      <c r="F101" s="74" t="str">
        <f ca="1">+Investments!P96</f>
        <v>EXPIRED</v>
      </c>
      <c r="G101" s="74" t="e">
        <f t="shared" ca="1" si="257"/>
        <v>#VALUE!</v>
      </c>
      <c r="H101" s="5">
        <f>+SUMIFS(Income!D95:K95,Income!D$5:K$5,TRUE)</f>
        <v>0</v>
      </c>
      <c r="I101" s="5" t="str">
        <f ca="1">+Investments!Q96</f>
        <v>EXPIRED</v>
      </c>
      <c r="J101" s="5">
        <f ca="1">+RealEstate!G90</f>
        <v>0</v>
      </c>
      <c r="K101" s="5">
        <f t="shared" ca="1" si="258"/>
        <v>0</v>
      </c>
      <c r="L101" s="5">
        <f t="shared" ca="1" si="259"/>
        <v>0</v>
      </c>
      <c r="M101" s="25"/>
      <c r="N101" s="77" t="str">
        <f ca="1">+Investments!N96</f>
        <v>EXPIRED</v>
      </c>
      <c r="O101" s="77">
        <f t="shared" ca="1" si="191"/>
        <v>0</v>
      </c>
      <c r="P101" s="25"/>
      <c r="Q101" s="32" t="e">
        <f t="shared" ca="1" si="289"/>
        <v>#VALUE!</v>
      </c>
      <c r="R101" s="32" t="e">
        <f t="shared" ca="1" si="260"/>
        <v>#VALUE!</v>
      </c>
      <c r="S101" s="32" t="e">
        <f ca="1">+AQ101+RealEstate!H90</f>
        <v>#VALUE!</v>
      </c>
      <c r="T101" s="32">
        <f ca="1">+RealEstate!I90</f>
        <v>0</v>
      </c>
      <c r="U101" s="32" t="e">
        <f t="shared" ca="1" si="261"/>
        <v>#VALUE!</v>
      </c>
      <c r="V101" s="32" t="e">
        <f t="shared" ca="1" si="284"/>
        <v>#VALUE!</v>
      </c>
      <c r="W101" s="32">
        <f t="shared" ca="1" si="262"/>
        <v>0</v>
      </c>
      <c r="Z101" s="25"/>
      <c r="AA101" s="90" t="e">
        <f t="shared" ca="1" si="305"/>
        <v>#VALUE!</v>
      </c>
      <c r="AB101" s="25"/>
      <c r="AC101" s="2" t="e">
        <f t="shared" ca="1" si="263"/>
        <v>#VALUE!</v>
      </c>
      <c r="AD101" s="2" t="e">
        <f t="shared" ref="AD101:AL101" ca="1" si="346">MAX(0,MIN($V101,AD$11*$C101)-AC$11*$C101)*AC$10</f>
        <v>#VALUE!</v>
      </c>
      <c r="AE101" s="2" t="e">
        <f t="shared" ca="1" si="346"/>
        <v>#VALUE!</v>
      </c>
      <c r="AF101" s="2" t="e">
        <f t="shared" ca="1" si="346"/>
        <v>#VALUE!</v>
      </c>
      <c r="AG101" s="2" t="e">
        <f t="shared" ca="1" si="346"/>
        <v>#VALUE!</v>
      </c>
      <c r="AH101" s="2" t="e">
        <f t="shared" ca="1" si="346"/>
        <v>#VALUE!</v>
      </c>
      <c r="AI101" s="2" t="e">
        <f t="shared" ca="1" si="346"/>
        <v>#VALUE!</v>
      </c>
      <c r="AJ101" s="2" t="e">
        <f t="shared" ca="1" si="346"/>
        <v>#VALUE!</v>
      </c>
      <c r="AK101" s="2" t="e">
        <f t="shared" ca="1" si="346"/>
        <v>#VALUE!</v>
      </c>
      <c r="AL101" s="2" t="e">
        <f t="shared" ca="1" si="346"/>
        <v>#VALUE!</v>
      </c>
      <c r="AM101" s="25"/>
      <c r="AN101" s="2" t="e">
        <f t="shared" ca="1" si="265"/>
        <v>#VALUE!</v>
      </c>
      <c r="AO101" s="2" t="e">
        <f t="shared" ca="1" si="266"/>
        <v>#VALUE!</v>
      </c>
      <c r="AP101" s="25"/>
      <c r="AQ101" s="2" t="e">
        <f t="shared" ca="1" si="267"/>
        <v>#VALUE!</v>
      </c>
      <c r="AR101" s="2" t="e">
        <f t="shared" ref="AR101:AZ101" ca="1" si="347">MAX(0,MIN($R101,AR$11*$C101)-AQ$11*$C101)*AQ$10</f>
        <v>#VALUE!</v>
      </c>
      <c r="AS101" s="2" t="e">
        <f t="shared" ca="1" si="347"/>
        <v>#VALUE!</v>
      </c>
      <c r="AT101" s="2" t="e">
        <f t="shared" ca="1" si="347"/>
        <v>#VALUE!</v>
      </c>
      <c r="AU101" s="2" t="e">
        <f t="shared" ca="1" si="347"/>
        <v>#VALUE!</v>
      </c>
      <c r="AV101" s="2" t="e">
        <f t="shared" ca="1" si="347"/>
        <v>#VALUE!</v>
      </c>
      <c r="AW101" s="2" t="e">
        <f t="shared" ca="1" si="347"/>
        <v>#VALUE!</v>
      </c>
      <c r="AX101" s="2" t="e">
        <f t="shared" ca="1" si="347"/>
        <v>#VALUE!</v>
      </c>
      <c r="AY101" s="2" t="e">
        <f t="shared" ca="1" si="347"/>
        <v>#VALUE!</v>
      </c>
      <c r="AZ101" s="2" t="e">
        <f t="shared" ca="1" si="347"/>
        <v>#VALUE!</v>
      </c>
      <c r="BA101" s="25"/>
      <c r="BB101" s="2">
        <f t="shared" ca="1" si="269"/>
        <v>0</v>
      </c>
      <c r="BC101" s="2">
        <f t="shared" ref="BC101:BK101" ca="1" si="348">MAX(0,MIN($W101,BC$11*$C101)-BB$11*$C101)*BB$10</f>
        <v>0</v>
      </c>
      <c r="BD101" s="2">
        <f t="shared" ca="1" si="348"/>
        <v>0</v>
      </c>
      <c r="BE101" s="2">
        <f t="shared" ca="1" si="348"/>
        <v>0</v>
      </c>
      <c r="BF101" s="2">
        <f t="shared" ca="1" si="348"/>
        <v>0</v>
      </c>
      <c r="BG101" s="2">
        <f t="shared" ca="1" si="348"/>
        <v>0</v>
      </c>
      <c r="BH101" s="2">
        <f t="shared" ca="1" si="348"/>
        <v>0</v>
      </c>
      <c r="BI101" s="2">
        <f t="shared" ca="1" si="348"/>
        <v>0</v>
      </c>
      <c r="BJ101" s="2">
        <f t="shared" ca="1" si="348"/>
        <v>0</v>
      </c>
      <c r="BK101" s="2">
        <f t="shared" ca="1" si="348"/>
        <v>0</v>
      </c>
      <c r="BL101" s="25"/>
      <c r="BM101" s="145" t="e">
        <f t="shared" ca="1" si="271"/>
        <v>#VALUE!</v>
      </c>
      <c r="BN101" s="145" t="e">
        <f t="shared" ca="1" si="272"/>
        <v>#VALUE!</v>
      </c>
      <c r="BO101" s="145" t="e">
        <f t="shared" ca="1" si="273"/>
        <v>#VALUE!</v>
      </c>
      <c r="BP101" s="145" t="e">
        <f t="shared" ca="1" si="274"/>
        <v>#VALUE!</v>
      </c>
      <c r="BQ101" s="145">
        <f t="shared" ca="1" si="275"/>
        <v>0</v>
      </c>
      <c r="BR101" s="145" t="e">
        <f t="shared" ca="1" si="288"/>
        <v>#VALUE!</v>
      </c>
      <c r="BS101" s="145" t="e">
        <f t="shared" ca="1" si="276"/>
        <v>#VALUE!</v>
      </c>
      <c r="BT101" s="145" t="e">
        <f t="shared" ca="1" si="277"/>
        <v>#VALUE!</v>
      </c>
      <c r="BU101" s="145" t="e">
        <f t="shared" ca="1" si="278"/>
        <v>#VALUE!</v>
      </c>
      <c r="BV101" s="145" t="e">
        <f t="shared" ca="1" si="279"/>
        <v>#VALUE!</v>
      </c>
      <c r="BW101" s="146" t="e">
        <f t="shared" ca="1" si="280"/>
        <v>#VALUE!</v>
      </c>
      <c r="BX101" s="146" t="e">
        <f t="shared" ca="1" si="281"/>
        <v>#VALUE!</v>
      </c>
      <c r="BY101" s="146" t="e">
        <f t="shared" ca="1" si="282"/>
        <v>#VALUE!</v>
      </c>
    </row>
    <row r="102" spans="1:77" x14ac:dyDescent="0.25">
      <c r="A102" s="14">
        <f t="shared" si="336"/>
        <v>86</v>
      </c>
      <c r="B102" s="14">
        <f t="shared" si="336"/>
        <v>126</v>
      </c>
      <c r="C102" s="38">
        <f t="shared" si="253"/>
        <v>5.4905363550039423</v>
      </c>
      <c r="D102" s="25"/>
      <c r="E102" s="74">
        <f>+SUMIFS(Income!D96:K96,Income!D$5:K$5,FALSE)</f>
        <v>137263.40887509857</v>
      </c>
      <c r="F102" s="74" t="str">
        <f ca="1">+Investments!P97</f>
        <v>EXPIRED</v>
      </c>
      <c r="G102" s="74" t="e">
        <f t="shared" ca="1" si="257"/>
        <v>#VALUE!</v>
      </c>
      <c r="H102" s="5">
        <f>+SUMIFS(Income!D96:K96,Income!D$5:K$5,TRUE)</f>
        <v>0</v>
      </c>
      <c r="I102" s="5" t="str">
        <f ca="1">+Investments!Q97</f>
        <v>EXPIRED</v>
      </c>
      <c r="J102" s="5">
        <f ca="1">+RealEstate!G91</f>
        <v>0</v>
      </c>
      <c r="K102" s="5">
        <f t="shared" ca="1" si="258"/>
        <v>0</v>
      </c>
      <c r="L102" s="5">
        <f t="shared" ca="1" si="259"/>
        <v>0</v>
      </c>
      <c r="M102" s="25"/>
      <c r="N102" s="77" t="str">
        <f ca="1">+Investments!N97</f>
        <v>EXPIRED</v>
      </c>
      <c r="O102" s="77">
        <f t="shared" ca="1" si="191"/>
        <v>0</v>
      </c>
      <c r="P102" s="25"/>
      <c r="Q102" s="32" t="e">
        <f t="shared" ca="1" si="289"/>
        <v>#VALUE!</v>
      </c>
      <c r="R102" s="32" t="e">
        <f t="shared" ca="1" si="260"/>
        <v>#VALUE!</v>
      </c>
      <c r="S102" s="32" t="e">
        <f ca="1">+AQ102+RealEstate!H91</f>
        <v>#VALUE!</v>
      </c>
      <c r="T102" s="32">
        <f ca="1">+RealEstate!I91</f>
        <v>0</v>
      </c>
      <c r="U102" s="32" t="e">
        <f t="shared" ca="1" si="261"/>
        <v>#VALUE!</v>
      </c>
      <c r="V102" s="32" t="e">
        <f t="shared" ca="1" si="284"/>
        <v>#VALUE!</v>
      </c>
      <c r="W102" s="32">
        <f t="shared" ca="1" si="262"/>
        <v>0</v>
      </c>
      <c r="Z102" s="25"/>
      <c r="AA102" s="90" t="e">
        <f t="shared" ca="1" si="305"/>
        <v>#VALUE!</v>
      </c>
      <c r="AB102" s="25"/>
      <c r="AC102" s="2" t="e">
        <f t="shared" ca="1" si="263"/>
        <v>#VALUE!</v>
      </c>
      <c r="AD102" s="2" t="e">
        <f t="shared" ref="AD102:AL102" ca="1" si="349">MAX(0,MIN($V102,AD$11*$C102)-AC$11*$C102)*AC$10</f>
        <v>#VALUE!</v>
      </c>
      <c r="AE102" s="2" t="e">
        <f t="shared" ca="1" si="349"/>
        <v>#VALUE!</v>
      </c>
      <c r="AF102" s="2" t="e">
        <f t="shared" ca="1" si="349"/>
        <v>#VALUE!</v>
      </c>
      <c r="AG102" s="2" t="e">
        <f t="shared" ca="1" si="349"/>
        <v>#VALUE!</v>
      </c>
      <c r="AH102" s="2" t="e">
        <f t="shared" ca="1" si="349"/>
        <v>#VALUE!</v>
      </c>
      <c r="AI102" s="2" t="e">
        <f t="shared" ca="1" si="349"/>
        <v>#VALUE!</v>
      </c>
      <c r="AJ102" s="2" t="e">
        <f t="shared" ca="1" si="349"/>
        <v>#VALUE!</v>
      </c>
      <c r="AK102" s="2" t="e">
        <f t="shared" ca="1" si="349"/>
        <v>#VALUE!</v>
      </c>
      <c r="AL102" s="2" t="e">
        <f t="shared" ca="1" si="349"/>
        <v>#VALUE!</v>
      </c>
      <c r="AM102" s="25"/>
      <c r="AN102" s="2" t="e">
        <f t="shared" ca="1" si="265"/>
        <v>#VALUE!</v>
      </c>
      <c r="AO102" s="2" t="e">
        <f t="shared" ca="1" si="266"/>
        <v>#VALUE!</v>
      </c>
      <c r="AP102" s="25"/>
      <c r="AQ102" s="2" t="e">
        <f t="shared" ca="1" si="267"/>
        <v>#VALUE!</v>
      </c>
      <c r="AR102" s="2" t="e">
        <f t="shared" ref="AR102:AZ102" ca="1" si="350">MAX(0,MIN($R102,AR$11*$C102)-AQ$11*$C102)*AQ$10</f>
        <v>#VALUE!</v>
      </c>
      <c r="AS102" s="2" t="e">
        <f t="shared" ca="1" si="350"/>
        <v>#VALUE!</v>
      </c>
      <c r="AT102" s="2" t="e">
        <f t="shared" ca="1" si="350"/>
        <v>#VALUE!</v>
      </c>
      <c r="AU102" s="2" t="e">
        <f t="shared" ca="1" si="350"/>
        <v>#VALUE!</v>
      </c>
      <c r="AV102" s="2" t="e">
        <f t="shared" ca="1" si="350"/>
        <v>#VALUE!</v>
      </c>
      <c r="AW102" s="2" t="e">
        <f t="shared" ca="1" si="350"/>
        <v>#VALUE!</v>
      </c>
      <c r="AX102" s="2" t="e">
        <f t="shared" ca="1" si="350"/>
        <v>#VALUE!</v>
      </c>
      <c r="AY102" s="2" t="e">
        <f t="shared" ca="1" si="350"/>
        <v>#VALUE!</v>
      </c>
      <c r="AZ102" s="2" t="e">
        <f t="shared" ca="1" si="350"/>
        <v>#VALUE!</v>
      </c>
      <c r="BA102" s="25"/>
      <c r="BB102" s="2">
        <f t="shared" ca="1" si="269"/>
        <v>0</v>
      </c>
      <c r="BC102" s="2">
        <f t="shared" ref="BC102:BK102" ca="1" si="351">MAX(0,MIN($W102,BC$11*$C102)-BB$11*$C102)*BB$10</f>
        <v>0</v>
      </c>
      <c r="BD102" s="2">
        <f t="shared" ca="1" si="351"/>
        <v>0</v>
      </c>
      <c r="BE102" s="2">
        <f t="shared" ca="1" si="351"/>
        <v>0</v>
      </c>
      <c r="BF102" s="2">
        <f t="shared" ca="1" si="351"/>
        <v>0</v>
      </c>
      <c r="BG102" s="2">
        <f t="shared" ca="1" si="351"/>
        <v>0</v>
      </c>
      <c r="BH102" s="2">
        <f t="shared" ca="1" si="351"/>
        <v>0</v>
      </c>
      <c r="BI102" s="2">
        <f t="shared" ca="1" si="351"/>
        <v>0</v>
      </c>
      <c r="BJ102" s="2">
        <f t="shared" ca="1" si="351"/>
        <v>0</v>
      </c>
      <c r="BK102" s="2">
        <f t="shared" ca="1" si="351"/>
        <v>0</v>
      </c>
      <c r="BL102" s="25"/>
      <c r="BM102" s="145" t="e">
        <f t="shared" ca="1" si="271"/>
        <v>#VALUE!</v>
      </c>
      <c r="BN102" s="145" t="e">
        <f t="shared" ca="1" si="272"/>
        <v>#VALUE!</v>
      </c>
      <c r="BO102" s="145" t="e">
        <f t="shared" ca="1" si="273"/>
        <v>#VALUE!</v>
      </c>
      <c r="BP102" s="145" t="e">
        <f t="shared" ca="1" si="274"/>
        <v>#VALUE!</v>
      </c>
      <c r="BQ102" s="145">
        <f t="shared" ca="1" si="275"/>
        <v>0</v>
      </c>
      <c r="BR102" s="145" t="e">
        <f t="shared" ca="1" si="288"/>
        <v>#VALUE!</v>
      </c>
      <c r="BS102" s="145" t="e">
        <f t="shared" ca="1" si="276"/>
        <v>#VALUE!</v>
      </c>
      <c r="BT102" s="145" t="e">
        <f t="shared" ca="1" si="277"/>
        <v>#VALUE!</v>
      </c>
      <c r="BU102" s="145" t="e">
        <f t="shared" ca="1" si="278"/>
        <v>#VALUE!</v>
      </c>
      <c r="BV102" s="145" t="e">
        <f t="shared" ca="1" si="279"/>
        <v>#VALUE!</v>
      </c>
      <c r="BW102" s="146" t="e">
        <f t="shared" ca="1" si="280"/>
        <v>#VALUE!</v>
      </c>
      <c r="BX102" s="146" t="e">
        <f t="shared" ca="1" si="281"/>
        <v>#VALUE!</v>
      </c>
      <c r="BY102" s="146" t="e">
        <f t="shared" ca="1" si="282"/>
        <v>#VALUE!</v>
      </c>
    </row>
    <row r="103" spans="1:77" x14ac:dyDescent="0.25">
      <c r="A103" s="14">
        <f t="shared" si="336"/>
        <v>87</v>
      </c>
      <c r="B103" s="14">
        <f t="shared" si="336"/>
        <v>127</v>
      </c>
      <c r="C103" s="38">
        <f t="shared" si="253"/>
        <v>5.6003470821040198</v>
      </c>
      <c r="D103" s="25"/>
      <c r="E103" s="74">
        <f>+SUMIFS(Income!D97:K97,Income!D$5:K$5,FALSE)</f>
        <v>140008.67705260048</v>
      </c>
      <c r="F103" s="74" t="str">
        <f ca="1">+Investments!P98</f>
        <v>EXPIRED</v>
      </c>
      <c r="G103" s="74" t="e">
        <f t="shared" ca="1" si="257"/>
        <v>#VALUE!</v>
      </c>
      <c r="H103" s="5">
        <f>+SUMIFS(Income!D97:K97,Income!D$5:K$5,TRUE)</f>
        <v>0</v>
      </c>
      <c r="I103" s="5" t="str">
        <f ca="1">+Investments!Q98</f>
        <v>EXPIRED</v>
      </c>
      <c r="J103" s="5">
        <f ca="1">+RealEstate!G92</f>
        <v>0</v>
      </c>
      <c r="K103" s="5">
        <f t="shared" ca="1" si="258"/>
        <v>0</v>
      </c>
      <c r="L103" s="5">
        <f t="shared" ca="1" si="259"/>
        <v>0</v>
      </c>
      <c r="M103" s="25"/>
      <c r="N103" s="77" t="str">
        <f ca="1">+Investments!N98</f>
        <v>EXPIRED</v>
      </c>
      <c r="O103" s="77">
        <f t="shared" ca="1" si="191"/>
        <v>0</v>
      </c>
      <c r="P103" s="25"/>
      <c r="Q103" s="32" t="e">
        <f t="shared" ca="1" si="289"/>
        <v>#VALUE!</v>
      </c>
      <c r="R103" s="32" t="e">
        <f t="shared" ca="1" si="260"/>
        <v>#VALUE!</v>
      </c>
      <c r="S103" s="32" t="e">
        <f ca="1">+AQ103+RealEstate!H92</f>
        <v>#VALUE!</v>
      </c>
      <c r="T103" s="32">
        <f ca="1">+RealEstate!I92</f>
        <v>0</v>
      </c>
      <c r="U103" s="32" t="e">
        <f t="shared" ca="1" si="261"/>
        <v>#VALUE!</v>
      </c>
      <c r="V103" s="32" t="e">
        <f t="shared" ca="1" si="284"/>
        <v>#VALUE!</v>
      </c>
      <c r="W103" s="32">
        <f t="shared" ca="1" si="262"/>
        <v>0</v>
      </c>
      <c r="Z103" s="25"/>
      <c r="AA103" s="90" t="e">
        <f t="shared" ca="1" si="305"/>
        <v>#VALUE!</v>
      </c>
      <c r="AB103" s="25"/>
      <c r="AC103" s="2" t="e">
        <f t="shared" ca="1" si="263"/>
        <v>#VALUE!</v>
      </c>
      <c r="AD103" s="2" t="e">
        <f t="shared" ref="AD103:AL103" ca="1" si="352">MAX(0,MIN($V103,AD$11*$C103)-AC$11*$C103)*AC$10</f>
        <v>#VALUE!</v>
      </c>
      <c r="AE103" s="2" t="e">
        <f t="shared" ca="1" si="352"/>
        <v>#VALUE!</v>
      </c>
      <c r="AF103" s="2" t="e">
        <f t="shared" ca="1" si="352"/>
        <v>#VALUE!</v>
      </c>
      <c r="AG103" s="2" t="e">
        <f t="shared" ca="1" si="352"/>
        <v>#VALUE!</v>
      </c>
      <c r="AH103" s="2" t="e">
        <f t="shared" ca="1" si="352"/>
        <v>#VALUE!</v>
      </c>
      <c r="AI103" s="2" t="e">
        <f t="shared" ca="1" si="352"/>
        <v>#VALUE!</v>
      </c>
      <c r="AJ103" s="2" t="e">
        <f t="shared" ca="1" si="352"/>
        <v>#VALUE!</v>
      </c>
      <c r="AK103" s="2" t="e">
        <f t="shared" ca="1" si="352"/>
        <v>#VALUE!</v>
      </c>
      <c r="AL103" s="2" t="e">
        <f t="shared" ca="1" si="352"/>
        <v>#VALUE!</v>
      </c>
      <c r="AM103" s="25"/>
      <c r="AN103" s="2" t="e">
        <f t="shared" ca="1" si="265"/>
        <v>#VALUE!</v>
      </c>
      <c r="AO103" s="2" t="e">
        <f t="shared" ca="1" si="266"/>
        <v>#VALUE!</v>
      </c>
      <c r="AP103" s="25"/>
      <c r="AQ103" s="2" t="e">
        <f t="shared" ca="1" si="267"/>
        <v>#VALUE!</v>
      </c>
      <c r="AR103" s="2" t="e">
        <f t="shared" ref="AR103:AZ103" ca="1" si="353">MAX(0,MIN($R103,AR$11*$C103)-AQ$11*$C103)*AQ$10</f>
        <v>#VALUE!</v>
      </c>
      <c r="AS103" s="2" t="e">
        <f t="shared" ca="1" si="353"/>
        <v>#VALUE!</v>
      </c>
      <c r="AT103" s="2" t="e">
        <f t="shared" ca="1" si="353"/>
        <v>#VALUE!</v>
      </c>
      <c r="AU103" s="2" t="e">
        <f t="shared" ca="1" si="353"/>
        <v>#VALUE!</v>
      </c>
      <c r="AV103" s="2" t="e">
        <f t="shared" ca="1" si="353"/>
        <v>#VALUE!</v>
      </c>
      <c r="AW103" s="2" t="e">
        <f t="shared" ca="1" si="353"/>
        <v>#VALUE!</v>
      </c>
      <c r="AX103" s="2" t="e">
        <f t="shared" ca="1" si="353"/>
        <v>#VALUE!</v>
      </c>
      <c r="AY103" s="2" t="e">
        <f t="shared" ca="1" si="353"/>
        <v>#VALUE!</v>
      </c>
      <c r="AZ103" s="2" t="e">
        <f t="shared" ca="1" si="353"/>
        <v>#VALUE!</v>
      </c>
      <c r="BA103" s="25"/>
      <c r="BB103" s="2">
        <f t="shared" ca="1" si="269"/>
        <v>0</v>
      </c>
      <c r="BC103" s="2">
        <f t="shared" ref="BC103:BK103" ca="1" si="354">MAX(0,MIN($W103,BC$11*$C103)-BB$11*$C103)*BB$10</f>
        <v>0</v>
      </c>
      <c r="BD103" s="2">
        <f t="shared" ca="1" si="354"/>
        <v>0</v>
      </c>
      <c r="BE103" s="2">
        <f t="shared" ca="1" si="354"/>
        <v>0</v>
      </c>
      <c r="BF103" s="2">
        <f t="shared" ca="1" si="354"/>
        <v>0</v>
      </c>
      <c r="BG103" s="2">
        <f t="shared" ca="1" si="354"/>
        <v>0</v>
      </c>
      <c r="BH103" s="2">
        <f t="shared" ca="1" si="354"/>
        <v>0</v>
      </c>
      <c r="BI103" s="2">
        <f t="shared" ca="1" si="354"/>
        <v>0</v>
      </c>
      <c r="BJ103" s="2">
        <f t="shared" ca="1" si="354"/>
        <v>0</v>
      </c>
      <c r="BK103" s="2">
        <f t="shared" ca="1" si="354"/>
        <v>0</v>
      </c>
      <c r="BL103" s="25"/>
      <c r="BM103" s="145" t="e">
        <f t="shared" ca="1" si="271"/>
        <v>#VALUE!</v>
      </c>
      <c r="BN103" s="145" t="e">
        <f t="shared" ca="1" si="272"/>
        <v>#VALUE!</v>
      </c>
      <c r="BO103" s="145" t="e">
        <f t="shared" ca="1" si="273"/>
        <v>#VALUE!</v>
      </c>
      <c r="BP103" s="145" t="e">
        <f t="shared" ca="1" si="274"/>
        <v>#VALUE!</v>
      </c>
      <c r="BQ103" s="145">
        <f t="shared" ca="1" si="275"/>
        <v>0</v>
      </c>
      <c r="BR103" s="145" t="e">
        <f t="shared" ca="1" si="288"/>
        <v>#VALUE!</v>
      </c>
      <c r="BS103" s="145" t="e">
        <f t="shared" ca="1" si="276"/>
        <v>#VALUE!</v>
      </c>
      <c r="BT103" s="145" t="e">
        <f t="shared" ca="1" si="277"/>
        <v>#VALUE!</v>
      </c>
      <c r="BU103" s="145" t="e">
        <f t="shared" ca="1" si="278"/>
        <v>#VALUE!</v>
      </c>
      <c r="BV103" s="145" t="e">
        <f t="shared" ca="1" si="279"/>
        <v>#VALUE!</v>
      </c>
      <c r="BW103" s="146" t="e">
        <f t="shared" ca="1" si="280"/>
        <v>#VALUE!</v>
      </c>
      <c r="BX103" s="146" t="e">
        <f t="shared" ca="1" si="281"/>
        <v>#VALUE!</v>
      </c>
      <c r="BY103" s="146" t="e">
        <f t="shared" ca="1" si="282"/>
        <v>#VALUE!</v>
      </c>
    </row>
    <row r="104" spans="1:77" x14ac:dyDescent="0.25">
      <c r="A104" s="14">
        <f t="shared" si="336"/>
        <v>88</v>
      </c>
      <c r="B104" s="14">
        <f t="shared" si="336"/>
        <v>128</v>
      </c>
      <c r="C104" s="38">
        <f t="shared" si="253"/>
        <v>5.7123540237461006</v>
      </c>
      <c r="D104" s="25"/>
      <c r="E104" s="74">
        <f>+SUMIFS(Income!D98:K98,Income!D$5:K$5,FALSE)</f>
        <v>142808.85059365252</v>
      </c>
      <c r="F104" s="74" t="str">
        <f ca="1">+Investments!P99</f>
        <v>EXPIRED</v>
      </c>
      <c r="G104" s="74" t="e">
        <f t="shared" ca="1" si="257"/>
        <v>#VALUE!</v>
      </c>
      <c r="H104" s="5">
        <f>+SUMIFS(Income!D98:K98,Income!D$5:K$5,TRUE)</f>
        <v>0</v>
      </c>
      <c r="I104" s="5" t="str">
        <f ca="1">+Investments!Q99</f>
        <v>EXPIRED</v>
      </c>
      <c r="J104" s="5">
        <f ca="1">+RealEstate!G93</f>
        <v>0</v>
      </c>
      <c r="K104" s="5">
        <f t="shared" ca="1" si="258"/>
        <v>0</v>
      </c>
      <c r="L104" s="5">
        <f t="shared" ca="1" si="259"/>
        <v>0</v>
      </c>
      <c r="M104" s="25"/>
      <c r="N104" s="77" t="str">
        <f ca="1">+Investments!N99</f>
        <v>EXPIRED</v>
      </c>
      <c r="O104" s="77">
        <f t="shared" ca="1" si="191"/>
        <v>0</v>
      </c>
      <c r="P104" s="25"/>
      <c r="Q104" s="32" t="e">
        <f t="shared" ca="1" si="289"/>
        <v>#VALUE!</v>
      </c>
      <c r="R104" s="32" t="e">
        <f t="shared" ca="1" si="260"/>
        <v>#VALUE!</v>
      </c>
      <c r="S104" s="32" t="e">
        <f ca="1">+AQ104+RealEstate!H93</f>
        <v>#VALUE!</v>
      </c>
      <c r="T104" s="32">
        <f ca="1">+RealEstate!I93</f>
        <v>0</v>
      </c>
      <c r="U104" s="32" t="e">
        <f t="shared" ca="1" si="261"/>
        <v>#VALUE!</v>
      </c>
      <c r="V104" s="32" t="e">
        <f t="shared" ca="1" si="284"/>
        <v>#VALUE!</v>
      </c>
      <c r="W104" s="32">
        <f t="shared" ca="1" si="262"/>
        <v>0</v>
      </c>
      <c r="Z104" s="25"/>
      <c r="AA104" s="90" t="e">
        <f t="shared" ca="1" si="305"/>
        <v>#VALUE!</v>
      </c>
      <c r="AB104" s="25"/>
      <c r="AC104" s="2" t="e">
        <f t="shared" ca="1" si="263"/>
        <v>#VALUE!</v>
      </c>
      <c r="AD104" s="2" t="e">
        <f t="shared" ref="AD104:AL104" ca="1" si="355">MAX(0,MIN($V104,AD$11*$C104)-AC$11*$C104)*AC$10</f>
        <v>#VALUE!</v>
      </c>
      <c r="AE104" s="2" t="e">
        <f t="shared" ca="1" si="355"/>
        <v>#VALUE!</v>
      </c>
      <c r="AF104" s="2" t="e">
        <f t="shared" ca="1" si="355"/>
        <v>#VALUE!</v>
      </c>
      <c r="AG104" s="2" t="e">
        <f t="shared" ca="1" si="355"/>
        <v>#VALUE!</v>
      </c>
      <c r="AH104" s="2" t="e">
        <f t="shared" ca="1" si="355"/>
        <v>#VALUE!</v>
      </c>
      <c r="AI104" s="2" t="e">
        <f t="shared" ca="1" si="355"/>
        <v>#VALUE!</v>
      </c>
      <c r="AJ104" s="2" t="e">
        <f t="shared" ca="1" si="355"/>
        <v>#VALUE!</v>
      </c>
      <c r="AK104" s="2" t="e">
        <f t="shared" ca="1" si="355"/>
        <v>#VALUE!</v>
      </c>
      <c r="AL104" s="2" t="e">
        <f t="shared" ca="1" si="355"/>
        <v>#VALUE!</v>
      </c>
      <c r="AM104" s="25"/>
      <c r="AN104" s="2" t="e">
        <f t="shared" ca="1" si="265"/>
        <v>#VALUE!</v>
      </c>
      <c r="AO104" s="2" t="e">
        <f t="shared" ca="1" si="266"/>
        <v>#VALUE!</v>
      </c>
      <c r="AP104" s="25"/>
      <c r="AQ104" s="2" t="e">
        <f t="shared" ca="1" si="267"/>
        <v>#VALUE!</v>
      </c>
      <c r="AR104" s="2" t="e">
        <f t="shared" ref="AR104:AZ104" ca="1" si="356">MAX(0,MIN($R104,AR$11*$C104)-AQ$11*$C104)*AQ$10</f>
        <v>#VALUE!</v>
      </c>
      <c r="AS104" s="2" t="e">
        <f t="shared" ca="1" si="356"/>
        <v>#VALUE!</v>
      </c>
      <c r="AT104" s="2" t="e">
        <f t="shared" ca="1" si="356"/>
        <v>#VALUE!</v>
      </c>
      <c r="AU104" s="2" t="e">
        <f t="shared" ca="1" si="356"/>
        <v>#VALUE!</v>
      </c>
      <c r="AV104" s="2" t="e">
        <f t="shared" ca="1" si="356"/>
        <v>#VALUE!</v>
      </c>
      <c r="AW104" s="2" t="e">
        <f t="shared" ca="1" si="356"/>
        <v>#VALUE!</v>
      </c>
      <c r="AX104" s="2" t="e">
        <f t="shared" ca="1" si="356"/>
        <v>#VALUE!</v>
      </c>
      <c r="AY104" s="2" t="e">
        <f t="shared" ca="1" si="356"/>
        <v>#VALUE!</v>
      </c>
      <c r="AZ104" s="2" t="e">
        <f t="shared" ca="1" si="356"/>
        <v>#VALUE!</v>
      </c>
      <c r="BA104" s="25"/>
      <c r="BB104" s="2">
        <f t="shared" ca="1" si="269"/>
        <v>0</v>
      </c>
      <c r="BC104" s="2">
        <f t="shared" ref="BC104:BK104" ca="1" si="357">MAX(0,MIN($W104,BC$11*$C104)-BB$11*$C104)*BB$10</f>
        <v>0</v>
      </c>
      <c r="BD104" s="2">
        <f t="shared" ca="1" si="357"/>
        <v>0</v>
      </c>
      <c r="BE104" s="2">
        <f t="shared" ca="1" si="357"/>
        <v>0</v>
      </c>
      <c r="BF104" s="2">
        <f t="shared" ca="1" si="357"/>
        <v>0</v>
      </c>
      <c r="BG104" s="2">
        <f t="shared" ca="1" si="357"/>
        <v>0</v>
      </c>
      <c r="BH104" s="2">
        <f t="shared" ca="1" si="357"/>
        <v>0</v>
      </c>
      <c r="BI104" s="2">
        <f t="shared" ca="1" si="357"/>
        <v>0</v>
      </c>
      <c r="BJ104" s="2">
        <f t="shared" ca="1" si="357"/>
        <v>0</v>
      </c>
      <c r="BK104" s="2">
        <f t="shared" ca="1" si="357"/>
        <v>0</v>
      </c>
      <c r="BL104" s="25"/>
      <c r="BM104" s="145" t="e">
        <f t="shared" ca="1" si="271"/>
        <v>#VALUE!</v>
      </c>
      <c r="BN104" s="145" t="e">
        <f t="shared" ca="1" si="272"/>
        <v>#VALUE!</v>
      </c>
      <c r="BO104" s="145" t="e">
        <f t="shared" ca="1" si="273"/>
        <v>#VALUE!</v>
      </c>
      <c r="BP104" s="145" t="e">
        <f t="shared" ca="1" si="274"/>
        <v>#VALUE!</v>
      </c>
      <c r="BQ104" s="145">
        <f t="shared" ca="1" si="275"/>
        <v>0</v>
      </c>
      <c r="BR104" s="145" t="e">
        <f t="shared" ca="1" si="288"/>
        <v>#VALUE!</v>
      </c>
      <c r="BS104" s="145" t="e">
        <f t="shared" ca="1" si="276"/>
        <v>#VALUE!</v>
      </c>
      <c r="BT104" s="145" t="e">
        <f t="shared" ca="1" si="277"/>
        <v>#VALUE!</v>
      </c>
      <c r="BU104" s="145" t="e">
        <f t="shared" ca="1" si="278"/>
        <v>#VALUE!</v>
      </c>
      <c r="BV104" s="145" t="e">
        <f t="shared" ca="1" si="279"/>
        <v>#VALUE!</v>
      </c>
      <c r="BW104" s="146" t="e">
        <f t="shared" ca="1" si="280"/>
        <v>#VALUE!</v>
      </c>
      <c r="BX104" s="146" t="e">
        <f t="shared" ca="1" si="281"/>
        <v>#VALUE!</v>
      </c>
      <c r="BY104" s="146" t="e">
        <f t="shared" ca="1" si="282"/>
        <v>#VALUE!</v>
      </c>
    </row>
    <row r="105" spans="1:77" x14ac:dyDescent="0.25">
      <c r="A105" s="14">
        <f t="shared" si="336"/>
        <v>89</v>
      </c>
      <c r="B105" s="14">
        <f t="shared" si="336"/>
        <v>129</v>
      </c>
      <c r="C105" s="38">
        <f t="shared" si="253"/>
        <v>5.8266011042210231</v>
      </c>
      <c r="D105" s="25"/>
      <c r="E105" s="74">
        <f>+SUMIFS(Income!D99:K99,Income!D$5:K$5,FALSE)</f>
        <v>145665.02760552557</v>
      </c>
      <c r="F105" s="74" t="str">
        <f ca="1">+Investments!P100</f>
        <v>EXPIRED</v>
      </c>
      <c r="G105" s="74" t="e">
        <f t="shared" ca="1" si="257"/>
        <v>#VALUE!</v>
      </c>
      <c r="H105" s="5">
        <f>+SUMIFS(Income!D99:K99,Income!D$5:K$5,TRUE)</f>
        <v>0</v>
      </c>
      <c r="I105" s="5" t="str">
        <f ca="1">+Investments!Q100</f>
        <v>EXPIRED</v>
      </c>
      <c r="J105" s="5">
        <f ca="1">+RealEstate!G94</f>
        <v>0</v>
      </c>
      <c r="K105" s="5">
        <f t="shared" ca="1" si="258"/>
        <v>0</v>
      </c>
      <c r="L105" s="5">
        <f t="shared" ca="1" si="259"/>
        <v>0</v>
      </c>
      <c r="M105" s="25"/>
      <c r="N105" s="77" t="str">
        <f ca="1">+Investments!N100</f>
        <v>EXPIRED</v>
      </c>
      <c r="O105" s="77">
        <f t="shared" ca="1" si="191"/>
        <v>0</v>
      </c>
      <c r="P105" s="25"/>
      <c r="Q105" s="32" t="e">
        <f t="shared" ca="1" si="289"/>
        <v>#VALUE!</v>
      </c>
      <c r="R105" s="32" t="e">
        <f t="shared" ca="1" si="260"/>
        <v>#VALUE!</v>
      </c>
      <c r="S105" s="32" t="e">
        <f ca="1">+AQ105+RealEstate!H94</f>
        <v>#VALUE!</v>
      </c>
      <c r="T105" s="32">
        <f ca="1">+RealEstate!I94</f>
        <v>0</v>
      </c>
      <c r="U105" s="32" t="e">
        <f t="shared" ca="1" si="261"/>
        <v>#VALUE!</v>
      </c>
      <c r="V105" s="32" t="e">
        <f t="shared" ca="1" si="284"/>
        <v>#VALUE!</v>
      </c>
      <c r="W105" s="32">
        <f t="shared" ca="1" si="262"/>
        <v>0</v>
      </c>
      <c r="Z105" s="25"/>
      <c r="AA105" s="90" t="e">
        <f t="shared" ca="1" si="305"/>
        <v>#VALUE!</v>
      </c>
      <c r="AB105" s="25"/>
      <c r="AC105" s="2" t="e">
        <f t="shared" ca="1" si="263"/>
        <v>#VALUE!</v>
      </c>
      <c r="AD105" s="2" t="e">
        <f t="shared" ref="AD105:AL105" ca="1" si="358">MAX(0,MIN($V105,AD$11*$C105)-AC$11*$C105)*AC$10</f>
        <v>#VALUE!</v>
      </c>
      <c r="AE105" s="2" t="e">
        <f t="shared" ca="1" si="358"/>
        <v>#VALUE!</v>
      </c>
      <c r="AF105" s="2" t="e">
        <f t="shared" ca="1" si="358"/>
        <v>#VALUE!</v>
      </c>
      <c r="AG105" s="2" t="e">
        <f t="shared" ca="1" si="358"/>
        <v>#VALUE!</v>
      </c>
      <c r="AH105" s="2" t="e">
        <f t="shared" ca="1" si="358"/>
        <v>#VALUE!</v>
      </c>
      <c r="AI105" s="2" t="e">
        <f t="shared" ca="1" si="358"/>
        <v>#VALUE!</v>
      </c>
      <c r="AJ105" s="2" t="e">
        <f t="shared" ca="1" si="358"/>
        <v>#VALUE!</v>
      </c>
      <c r="AK105" s="2" t="e">
        <f t="shared" ca="1" si="358"/>
        <v>#VALUE!</v>
      </c>
      <c r="AL105" s="2" t="e">
        <f t="shared" ca="1" si="358"/>
        <v>#VALUE!</v>
      </c>
      <c r="AM105" s="25"/>
      <c r="AN105" s="2" t="e">
        <f t="shared" ca="1" si="265"/>
        <v>#VALUE!</v>
      </c>
      <c r="AO105" s="2" t="e">
        <f t="shared" ca="1" si="266"/>
        <v>#VALUE!</v>
      </c>
      <c r="AP105" s="25"/>
      <c r="AQ105" s="2" t="e">
        <f t="shared" ca="1" si="267"/>
        <v>#VALUE!</v>
      </c>
      <c r="AR105" s="2" t="e">
        <f t="shared" ref="AR105:AZ105" ca="1" si="359">MAX(0,MIN($R105,AR$11*$C105)-AQ$11*$C105)*AQ$10</f>
        <v>#VALUE!</v>
      </c>
      <c r="AS105" s="2" t="e">
        <f t="shared" ca="1" si="359"/>
        <v>#VALUE!</v>
      </c>
      <c r="AT105" s="2" t="e">
        <f t="shared" ca="1" si="359"/>
        <v>#VALUE!</v>
      </c>
      <c r="AU105" s="2" t="e">
        <f t="shared" ca="1" si="359"/>
        <v>#VALUE!</v>
      </c>
      <c r="AV105" s="2" t="e">
        <f t="shared" ca="1" si="359"/>
        <v>#VALUE!</v>
      </c>
      <c r="AW105" s="2" t="e">
        <f t="shared" ca="1" si="359"/>
        <v>#VALUE!</v>
      </c>
      <c r="AX105" s="2" t="e">
        <f t="shared" ca="1" si="359"/>
        <v>#VALUE!</v>
      </c>
      <c r="AY105" s="2" t="e">
        <f t="shared" ca="1" si="359"/>
        <v>#VALUE!</v>
      </c>
      <c r="AZ105" s="2" t="e">
        <f t="shared" ca="1" si="359"/>
        <v>#VALUE!</v>
      </c>
      <c r="BA105" s="25"/>
      <c r="BB105" s="2">
        <f t="shared" ca="1" si="269"/>
        <v>0</v>
      </c>
      <c r="BC105" s="2">
        <f t="shared" ref="BC105:BK105" ca="1" si="360">MAX(0,MIN($W105,BC$11*$C105)-BB$11*$C105)*BB$10</f>
        <v>0</v>
      </c>
      <c r="BD105" s="2">
        <f t="shared" ca="1" si="360"/>
        <v>0</v>
      </c>
      <c r="BE105" s="2">
        <f t="shared" ca="1" si="360"/>
        <v>0</v>
      </c>
      <c r="BF105" s="2">
        <f t="shared" ca="1" si="360"/>
        <v>0</v>
      </c>
      <c r="BG105" s="2">
        <f t="shared" ca="1" si="360"/>
        <v>0</v>
      </c>
      <c r="BH105" s="2">
        <f t="shared" ca="1" si="360"/>
        <v>0</v>
      </c>
      <c r="BI105" s="2">
        <f t="shared" ca="1" si="360"/>
        <v>0</v>
      </c>
      <c r="BJ105" s="2">
        <f t="shared" ca="1" si="360"/>
        <v>0</v>
      </c>
      <c r="BK105" s="2">
        <f t="shared" ca="1" si="360"/>
        <v>0</v>
      </c>
      <c r="BL105" s="25"/>
      <c r="BM105" s="145" t="e">
        <f t="shared" ca="1" si="271"/>
        <v>#VALUE!</v>
      </c>
      <c r="BN105" s="145" t="e">
        <f t="shared" ca="1" si="272"/>
        <v>#VALUE!</v>
      </c>
      <c r="BO105" s="145" t="e">
        <f t="shared" ca="1" si="273"/>
        <v>#VALUE!</v>
      </c>
      <c r="BP105" s="145" t="e">
        <f t="shared" ca="1" si="274"/>
        <v>#VALUE!</v>
      </c>
      <c r="BQ105" s="145">
        <f t="shared" ca="1" si="275"/>
        <v>0</v>
      </c>
      <c r="BR105" s="145" t="e">
        <f t="shared" ca="1" si="288"/>
        <v>#VALUE!</v>
      </c>
      <c r="BS105" s="145" t="e">
        <f t="shared" ca="1" si="276"/>
        <v>#VALUE!</v>
      </c>
      <c r="BT105" s="145" t="e">
        <f t="shared" ca="1" si="277"/>
        <v>#VALUE!</v>
      </c>
      <c r="BU105" s="145" t="e">
        <f t="shared" ca="1" si="278"/>
        <v>#VALUE!</v>
      </c>
      <c r="BV105" s="145" t="e">
        <f t="shared" ca="1" si="279"/>
        <v>#VALUE!</v>
      </c>
      <c r="BW105" s="146" t="e">
        <f t="shared" ca="1" si="280"/>
        <v>#VALUE!</v>
      </c>
      <c r="BX105" s="146" t="e">
        <f t="shared" ca="1" si="281"/>
        <v>#VALUE!</v>
      </c>
      <c r="BY105" s="146" t="e">
        <f t="shared" ca="1" si="282"/>
        <v>#VALUE!</v>
      </c>
    </row>
    <row r="106" spans="1:77" x14ac:dyDescent="0.25">
      <c r="A106" s="14">
        <f t="shared" si="336"/>
        <v>90</v>
      </c>
      <c r="B106" s="14">
        <f t="shared" si="336"/>
        <v>130</v>
      </c>
      <c r="C106" s="38">
        <f t="shared" si="253"/>
        <v>5.9431331263054439</v>
      </c>
      <c r="D106" s="25"/>
      <c r="E106" s="74">
        <f>+SUMIFS(Income!D100:K100,Income!D$5:K$5,FALSE)</f>
        <v>148578.3281576361</v>
      </c>
      <c r="F106" s="74" t="str">
        <f ca="1">+Investments!P101</f>
        <v>EXPIRED</v>
      </c>
      <c r="G106" s="74" t="e">
        <f t="shared" ca="1" si="257"/>
        <v>#VALUE!</v>
      </c>
      <c r="H106" s="5">
        <f>+SUMIFS(Income!D100:K100,Income!D$5:K$5,TRUE)</f>
        <v>0</v>
      </c>
      <c r="I106" s="5" t="str">
        <f ca="1">+Investments!Q101</f>
        <v>EXPIRED</v>
      </c>
      <c r="J106" s="5">
        <f ca="1">+RealEstate!G95</f>
        <v>0</v>
      </c>
      <c r="K106" s="5">
        <f t="shared" ca="1" si="258"/>
        <v>0</v>
      </c>
      <c r="L106" s="5">
        <f t="shared" ca="1" si="259"/>
        <v>0</v>
      </c>
      <c r="M106" s="25"/>
      <c r="N106" s="77" t="str">
        <f ca="1">+Investments!N101</f>
        <v>EXPIRED</v>
      </c>
      <c r="O106" s="77">
        <f t="shared" ca="1" si="191"/>
        <v>0</v>
      </c>
      <c r="P106" s="25"/>
      <c r="Q106" s="32" t="e">
        <f t="shared" ca="1" si="289"/>
        <v>#VALUE!</v>
      </c>
      <c r="R106" s="32" t="e">
        <f t="shared" ca="1" si="260"/>
        <v>#VALUE!</v>
      </c>
      <c r="S106" s="32" t="e">
        <f ca="1">+AQ106+RealEstate!H95</f>
        <v>#VALUE!</v>
      </c>
      <c r="T106" s="32">
        <f ca="1">+RealEstate!I95</f>
        <v>0</v>
      </c>
      <c r="U106" s="32" t="e">
        <f t="shared" ca="1" si="261"/>
        <v>#VALUE!</v>
      </c>
      <c r="V106" s="32" t="e">
        <f t="shared" ca="1" si="284"/>
        <v>#VALUE!</v>
      </c>
      <c r="W106" s="32">
        <f t="shared" ca="1" si="262"/>
        <v>0</v>
      </c>
      <c r="Z106" s="25"/>
      <c r="AA106" s="90" t="e">
        <f t="shared" ca="1" si="305"/>
        <v>#VALUE!</v>
      </c>
      <c r="AB106" s="25"/>
      <c r="AC106" s="2" t="e">
        <f t="shared" ca="1" si="263"/>
        <v>#VALUE!</v>
      </c>
      <c r="AD106" s="2" t="e">
        <f t="shared" ref="AD106:AL106" ca="1" si="361">MAX(0,MIN($V106,AD$11*$C106)-AC$11*$C106)*AC$10</f>
        <v>#VALUE!</v>
      </c>
      <c r="AE106" s="2" t="e">
        <f t="shared" ca="1" si="361"/>
        <v>#VALUE!</v>
      </c>
      <c r="AF106" s="2" t="e">
        <f t="shared" ca="1" si="361"/>
        <v>#VALUE!</v>
      </c>
      <c r="AG106" s="2" t="e">
        <f t="shared" ca="1" si="361"/>
        <v>#VALUE!</v>
      </c>
      <c r="AH106" s="2" t="e">
        <f t="shared" ca="1" si="361"/>
        <v>#VALUE!</v>
      </c>
      <c r="AI106" s="2" t="e">
        <f t="shared" ca="1" si="361"/>
        <v>#VALUE!</v>
      </c>
      <c r="AJ106" s="2" t="e">
        <f t="shared" ca="1" si="361"/>
        <v>#VALUE!</v>
      </c>
      <c r="AK106" s="2" t="e">
        <f t="shared" ca="1" si="361"/>
        <v>#VALUE!</v>
      </c>
      <c r="AL106" s="2" t="e">
        <f t="shared" ca="1" si="361"/>
        <v>#VALUE!</v>
      </c>
      <c r="AM106" s="25"/>
      <c r="AN106" s="2" t="e">
        <f t="shared" ca="1" si="265"/>
        <v>#VALUE!</v>
      </c>
      <c r="AO106" s="2" t="e">
        <f t="shared" ca="1" si="266"/>
        <v>#VALUE!</v>
      </c>
      <c r="AP106" s="25"/>
      <c r="AQ106" s="2" t="e">
        <f t="shared" ca="1" si="267"/>
        <v>#VALUE!</v>
      </c>
      <c r="AR106" s="2" t="e">
        <f t="shared" ref="AR106:AZ106" ca="1" si="362">MAX(0,MIN($R106,AR$11*$C106)-AQ$11*$C106)*AQ$10</f>
        <v>#VALUE!</v>
      </c>
      <c r="AS106" s="2" t="e">
        <f t="shared" ca="1" si="362"/>
        <v>#VALUE!</v>
      </c>
      <c r="AT106" s="2" t="e">
        <f t="shared" ca="1" si="362"/>
        <v>#VALUE!</v>
      </c>
      <c r="AU106" s="2" t="e">
        <f t="shared" ca="1" si="362"/>
        <v>#VALUE!</v>
      </c>
      <c r="AV106" s="2" t="e">
        <f t="shared" ca="1" si="362"/>
        <v>#VALUE!</v>
      </c>
      <c r="AW106" s="2" t="e">
        <f t="shared" ca="1" si="362"/>
        <v>#VALUE!</v>
      </c>
      <c r="AX106" s="2" t="e">
        <f t="shared" ca="1" si="362"/>
        <v>#VALUE!</v>
      </c>
      <c r="AY106" s="2" t="e">
        <f t="shared" ca="1" si="362"/>
        <v>#VALUE!</v>
      </c>
      <c r="AZ106" s="2" t="e">
        <f t="shared" ca="1" si="362"/>
        <v>#VALUE!</v>
      </c>
      <c r="BA106" s="25"/>
      <c r="BB106" s="2">
        <f t="shared" ca="1" si="269"/>
        <v>0</v>
      </c>
      <c r="BC106" s="2">
        <f t="shared" ref="BC106:BK106" ca="1" si="363">MAX(0,MIN($W106,BC$11*$C106)-BB$11*$C106)*BB$10</f>
        <v>0</v>
      </c>
      <c r="BD106" s="2">
        <f t="shared" ca="1" si="363"/>
        <v>0</v>
      </c>
      <c r="BE106" s="2">
        <f t="shared" ca="1" si="363"/>
        <v>0</v>
      </c>
      <c r="BF106" s="2">
        <f t="shared" ca="1" si="363"/>
        <v>0</v>
      </c>
      <c r="BG106" s="2">
        <f t="shared" ca="1" si="363"/>
        <v>0</v>
      </c>
      <c r="BH106" s="2">
        <f t="shared" ca="1" si="363"/>
        <v>0</v>
      </c>
      <c r="BI106" s="2">
        <f t="shared" ca="1" si="363"/>
        <v>0</v>
      </c>
      <c r="BJ106" s="2">
        <f t="shared" ca="1" si="363"/>
        <v>0</v>
      </c>
      <c r="BK106" s="2">
        <f t="shared" ca="1" si="363"/>
        <v>0</v>
      </c>
      <c r="BL106" s="25"/>
      <c r="BM106" s="145" t="e">
        <f t="shared" ca="1" si="271"/>
        <v>#VALUE!</v>
      </c>
      <c r="BN106" s="145" t="e">
        <f t="shared" ca="1" si="272"/>
        <v>#VALUE!</v>
      </c>
      <c r="BO106" s="145" t="e">
        <f t="shared" ca="1" si="273"/>
        <v>#VALUE!</v>
      </c>
      <c r="BP106" s="145" t="e">
        <f t="shared" ca="1" si="274"/>
        <v>#VALUE!</v>
      </c>
      <c r="BQ106" s="145">
        <f t="shared" ca="1" si="275"/>
        <v>0</v>
      </c>
      <c r="BR106" s="145" t="e">
        <f t="shared" ca="1" si="288"/>
        <v>#VALUE!</v>
      </c>
      <c r="BS106" s="145" t="e">
        <f t="shared" ca="1" si="276"/>
        <v>#VALUE!</v>
      </c>
      <c r="BT106" s="145" t="e">
        <f t="shared" ca="1" si="277"/>
        <v>#VALUE!</v>
      </c>
      <c r="BU106" s="145" t="e">
        <f t="shared" ca="1" si="278"/>
        <v>#VALUE!</v>
      </c>
      <c r="BV106" s="145" t="e">
        <f t="shared" ca="1" si="279"/>
        <v>#VALUE!</v>
      </c>
      <c r="BW106" s="146" t="e">
        <f t="shared" ca="1" si="280"/>
        <v>#VALUE!</v>
      </c>
      <c r="BX106" s="146" t="e">
        <f t="shared" ca="1" si="281"/>
        <v>#VALUE!</v>
      </c>
      <c r="BY106" s="146" t="e">
        <f t="shared" ca="1" si="282"/>
        <v>#VALUE!</v>
      </c>
    </row>
    <row r="107" spans="1:77" x14ac:dyDescent="0.25">
      <c r="A107" s="14">
        <f t="shared" si="336"/>
        <v>91</v>
      </c>
      <c r="B107" s="14">
        <f t="shared" si="336"/>
        <v>131</v>
      </c>
      <c r="C107" s="38">
        <f t="shared" si="253"/>
        <v>6.0619957888315517</v>
      </c>
      <c r="D107" s="25"/>
      <c r="E107" s="74">
        <f>+SUMIFS(Income!D101:K101,Income!D$5:K$5,FALSE)</f>
        <v>151549.89472078878</v>
      </c>
      <c r="F107" s="74" t="str">
        <f ca="1">+Investments!P102</f>
        <v>EXPIRED</v>
      </c>
      <c r="G107" s="74" t="e">
        <f t="shared" ca="1" si="257"/>
        <v>#VALUE!</v>
      </c>
      <c r="H107" s="5">
        <f>+SUMIFS(Income!D101:K101,Income!D$5:K$5,TRUE)</f>
        <v>0</v>
      </c>
      <c r="I107" s="5" t="str">
        <f ca="1">+Investments!Q102</f>
        <v>EXPIRED</v>
      </c>
      <c r="J107" s="5">
        <f ca="1">+RealEstate!G96</f>
        <v>0</v>
      </c>
      <c r="K107" s="5">
        <f t="shared" ca="1" si="258"/>
        <v>0</v>
      </c>
      <c r="L107" s="5">
        <f t="shared" ca="1" si="259"/>
        <v>0</v>
      </c>
      <c r="M107" s="25"/>
      <c r="N107" s="77" t="str">
        <f ca="1">+Investments!N102</f>
        <v>EXPIRED</v>
      </c>
      <c r="O107" s="77">
        <f t="shared" ca="1" si="191"/>
        <v>0</v>
      </c>
      <c r="P107" s="25"/>
      <c r="Q107" s="32" t="e">
        <f t="shared" ca="1" si="289"/>
        <v>#VALUE!</v>
      </c>
      <c r="R107" s="32" t="e">
        <f t="shared" ca="1" si="260"/>
        <v>#VALUE!</v>
      </c>
      <c r="S107" s="32" t="e">
        <f ca="1">+AQ107+RealEstate!H96</f>
        <v>#VALUE!</v>
      </c>
      <c r="T107" s="32">
        <f ca="1">+RealEstate!I96</f>
        <v>0</v>
      </c>
      <c r="U107" s="32" t="e">
        <f t="shared" ca="1" si="261"/>
        <v>#VALUE!</v>
      </c>
      <c r="V107" s="32" t="e">
        <f t="shared" ca="1" si="284"/>
        <v>#VALUE!</v>
      </c>
      <c r="W107" s="32">
        <f t="shared" ca="1" si="262"/>
        <v>0</v>
      </c>
      <c r="Z107" s="25"/>
      <c r="AA107" s="90" t="e">
        <f t="shared" ca="1" si="305"/>
        <v>#VALUE!</v>
      </c>
      <c r="AB107" s="25"/>
      <c r="AC107" s="2" t="e">
        <f t="shared" ca="1" si="263"/>
        <v>#VALUE!</v>
      </c>
      <c r="AD107" s="2" t="e">
        <f t="shared" ref="AD107:AL107" ca="1" si="364">MAX(0,MIN($V107,AD$11*$C107)-AC$11*$C107)*AC$10</f>
        <v>#VALUE!</v>
      </c>
      <c r="AE107" s="2" t="e">
        <f t="shared" ca="1" si="364"/>
        <v>#VALUE!</v>
      </c>
      <c r="AF107" s="2" t="e">
        <f t="shared" ca="1" si="364"/>
        <v>#VALUE!</v>
      </c>
      <c r="AG107" s="2" t="e">
        <f t="shared" ca="1" si="364"/>
        <v>#VALUE!</v>
      </c>
      <c r="AH107" s="2" t="e">
        <f t="shared" ca="1" si="364"/>
        <v>#VALUE!</v>
      </c>
      <c r="AI107" s="2" t="e">
        <f t="shared" ca="1" si="364"/>
        <v>#VALUE!</v>
      </c>
      <c r="AJ107" s="2" t="e">
        <f t="shared" ca="1" si="364"/>
        <v>#VALUE!</v>
      </c>
      <c r="AK107" s="2" t="e">
        <f t="shared" ca="1" si="364"/>
        <v>#VALUE!</v>
      </c>
      <c r="AL107" s="2" t="e">
        <f t="shared" ca="1" si="364"/>
        <v>#VALUE!</v>
      </c>
      <c r="AM107" s="25"/>
      <c r="AN107" s="2" t="e">
        <f t="shared" ca="1" si="265"/>
        <v>#VALUE!</v>
      </c>
      <c r="AO107" s="2" t="e">
        <f t="shared" ca="1" si="266"/>
        <v>#VALUE!</v>
      </c>
      <c r="AP107" s="25"/>
      <c r="AQ107" s="2" t="e">
        <f t="shared" ca="1" si="267"/>
        <v>#VALUE!</v>
      </c>
      <c r="AR107" s="2" t="e">
        <f t="shared" ref="AR107:AZ107" ca="1" si="365">MAX(0,MIN($R107,AR$11*$C107)-AQ$11*$C107)*AQ$10</f>
        <v>#VALUE!</v>
      </c>
      <c r="AS107" s="2" t="e">
        <f t="shared" ca="1" si="365"/>
        <v>#VALUE!</v>
      </c>
      <c r="AT107" s="2" t="e">
        <f t="shared" ca="1" si="365"/>
        <v>#VALUE!</v>
      </c>
      <c r="AU107" s="2" t="e">
        <f t="shared" ca="1" si="365"/>
        <v>#VALUE!</v>
      </c>
      <c r="AV107" s="2" t="e">
        <f t="shared" ca="1" si="365"/>
        <v>#VALUE!</v>
      </c>
      <c r="AW107" s="2" t="e">
        <f t="shared" ca="1" si="365"/>
        <v>#VALUE!</v>
      </c>
      <c r="AX107" s="2" t="e">
        <f t="shared" ca="1" si="365"/>
        <v>#VALUE!</v>
      </c>
      <c r="AY107" s="2" t="e">
        <f t="shared" ca="1" si="365"/>
        <v>#VALUE!</v>
      </c>
      <c r="AZ107" s="2" t="e">
        <f t="shared" ca="1" si="365"/>
        <v>#VALUE!</v>
      </c>
      <c r="BA107" s="25"/>
      <c r="BB107" s="2">
        <f t="shared" ca="1" si="269"/>
        <v>0</v>
      </c>
      <c r="BC107" s="2">
        <f t="shared" ref="BC107:BK107" ca="1" si="366">MAX(0,MIN($W107,BC$11*$C107)-BB$11*$C107)*BB$10</f>
        <v>0</v>
      </c>
      <c r="BD107" s="2">
        <f t="shared" ca="1" si="366"/>
        <v>0</v>
      </c>
      <c r="BE107" s="2">
        <f t="shared" ca="1" si="366"/>
        <v>0</v>
      </c>
      <c r="BF107" s="2">
        <f t="shared" ca="1" si="366"/>
        <v>0</v>
      </c>
      <c r="BG107" s="2">
        <f t="shared" ca="1" si="366"/>
        <v>0</v>
      </c>
      <c r="BH107" s="2">
        <f t="shared" ca="1" si="366"/>
        <v>0</v>
      </c>
      <c r="BI107" s="2">
        <f t="shared" ca="1" si="366"/>
        <v>0</v>
      </c>
      <c r="BJ107" s="2">
        <f t="shared" ca="1" si="366"/>
        <v>0</v>
      </c>
      <c r="BK107" s="2">
        <f t="shared" ca="1" si="366"/>
        <v>0</v>
      </c>
      <c r="BL107" s="25"/>
      <c r="BM107" s="145" t="e">
        <f t="shared" ca="1" si="271"/>
        <v>#VALUE!</v>
      </c>
      <c r="BN107" s="145" t="e">
        <f t="shared" ca="1" si="272"/>
        <v>#VALUE!</v>
      </c>
      <c r="BO107" s="145" t="e">
        <f t="shared" ca="1" si="273"/>
        <v>#VALUE!</v>
      </c>
      <c r="BP107" s="145" t="e">
        <f t="shared" ca="1" si="274"/>
        <v>#VALUE!</v>
      </c>
      <c r="BQ107" s="145">
        <f t="shared" ca="1" si="275"/>
        <v>0</v>
      </c>
      <c r="BR107" s="145" t="e">
        <f t="shared" ca="1" si="288"/>
        <v>#VALUE!</v>
      </c>
      <c r="BS107" s="145" t="e">
        <f t="shared" ca="1" si="276"/>
        <v>#VALUE!</v>
      </c>
      <c r="BT107" s="145" t="e">
        <f t="shared" ca="1" si="277"/>
        <v>#VALUE!</v>
      </c>
      <c r="BU107" s="145" t="e">
        <f t="shared" ca="1" si="278"/>
        <v>#VALUE!</v>
      </c>
      <c r="BV107" s="145" t="e">
        <f t="shared" ca="1" si="279"/>
        <v>#VALUE!</v>
      </c>
      <c r="BW107" s="146" t="e">
        <f t="shared" ca="1" si="280"/>
        <v>#VALUE!</v>
      </c>
      <c r="BX107" s="146" t="e">
        <f t="shared" ca="1" si="281"/>
        <v>#VALUE!</v>
      </c>
      <c r="BY107" s="146" t="e">
        <f t="shared" ca="1" si="282"/>
        <v>#VALUE!</v>
      </c>
    </row>
    <row r="108" spans="1:77" x14ac:dyDescent="0.25">
      <c r="A108" s="14">
        <f t="shared" si="336"/>
        <v>92</v>
      </c>
      <c r="B108" s="14">
        <f t="shared" si="336"/>
        <v>132</v>
      </c>
      <c r="C108" s="38">
        <f t="shared" si="253"/>
        <v>6.1832357046081841</v>
      </c>
      <c r="D108" s="25"/>
      <c r="E108" s="74">
        <f>+SUMIFS(Income!D102:K102,Income!D$5:K$5,FALSE)</f>
        <v>154580.89261520459</v>
      </c>
      <c r="F108" s="74" t="str">
        <f ca="1">+Investments!P103</f>
        <v>EXPIRED</v>
      </c>
      <c r="G108" s="74" t="e">
        <f t="shared" ca="1" si="257"/>
        <v>#VALUE!</v>
      </c>
      <c r="H108" s="5">
        <f>+SUMIFS(Income!D102:K102,Income!D$5:K$5,TRUE)</f>
        <v>0</v>
      </c>
      <c r="I108" s="5" t="str">
        <f ca="1">+Investments!Q103</f>
        <v>EXPIRED</v>
      </c>
      <c r="J108" s="5">
        <f ca="1">+RealEstate!G97</f>
        <v>0</v>
      </c>
      <c r="K108" s="5">
        <f t="shared" ca="1" si="258"/>
        <v>0</v>
      </c>
      <c r="L108" s="5">
        <f t="shared" ca="1" si="259"/>
        <v>0</v>
      </c>
      <c r="M108" s="25"/>
      <c r="N108" s="77" t="str">
        <f ca="1">+Investments!N103</f>
        <v>EXPIRED</v>
      </c>
      <c r="O108" s="77">
        <f t="shared" ca="1" si="191"/>
        <v>0</v>
      </c>
      <c r="P108" s="25"/>
      <c r="Q108" s="32" t="e">
        <f t="shared" ca="1" si="289"/>
        <v>#VALUE!</v>
      </c>
      <c r="R108" s="32" t="e">
        <f t="shared" ca="1" si="260"/>
        <v>#VALUE!</v>
      </c>
      <c r="S108" s="32" t="e">
        <f ca="1">+AQ108+RealEstate!H97</f>
        <v>#VALUE!</v>
      </c>
      <c r="T108" s="32">
        <f ca="1">+RealEstate!I97</f>
        <v>0</v>
      </c>
      <c r="U108" s="32" t="e">
        <f t="shared" ca="1" si="261"/>
        <v>#VALUE!</v>
      </c>
      <c r="V108" s="32" t="e">
        <f t="shared" ca="1" si="284"/>
        <v>#VALUE!</v>
      </c>
      <c r="W108" s="32">
        <f t="shared" ca="1" si="262"/>
        <v>0</v>
      </c>
      <c r="Z108" s="25"/>
      <c r="AA108" s="90" t="e">
        <f t="shared" ca="1" si="305"/>
        <v>#VALUE!</v>
      </c>
      <c r="AB108" s="25"/>
      <c r="AC108" s="2" t="e">
        <f t="shared" ca="1" si="263"/>
        <v>#VALUE!</v>
      </c>
      <c r="AD108" s="2" t="e">
        <f t="shared" ref="AD108:AL108" ca="1" si="367">MAX(0,MIN($V108,AD$11*$C108)-AC$11*$C108)*AC$10</f>
        <v>#VALUE!</v>
      </c>
      <c r="AE108" s="2" t="e">
        <f t="shared" ca="1" si="367"/>
        <v>#VALUE!</v>
      </c>
      <c r="AF108" s="2" t="e">
        <f t="shared" ca="1" si="367"/>
        <v>#VALUE!</v>
      </c>
      <c r="AG108" s="2" t="e">
        <f t="shared" ca="1" si="367"/>
        <v>#VALUE!</v>
      </c>
      <c r="AH108" s="2" t="e">
        <f t="shared" ca="1" si="367"/>
        <v>#VALUE!</v>
      </c>
      <c r="AI108" s="2" t="e">
        <f t="shared" ca="1" si="367"/>
        <v>#VALUE!</v>
      </c>
      <c r="AJ108" s="2" t="e">
        <f t="shared" ca="1" si="367"/>
        <v>#VALUE!</v>
      </c>
      <c r="AK108" s="2" t="e">
        <f t="shared" ca="1" si="367"/>
        <v>#VALUE!</v>
      </c>
      <c r="AL108" s="2" t="e">
        <f t="shared" ca="1" si="367"/>
        <v>#VALUE!</v>
      </c>
      <c r="AM108" s="25"/>
      <c r="AN108" s="2" t="e">
        <f t="shared" ca="1" si="265"/>
        <v>#VALUE!</v>
      </c>
      <c r="AO108" s="2" t="e">
        <f t="shared" ca="1" si="266"/>
        <v>#VALUE!</v>
      </c>
      <c r="AP108" s="25"/>
      <c r="AQ108" s="2" t="e">
        <f t="shared" ca="1" si="267"/>
        <v>#VALUE!</v>
      </c>
      <c r="AR108" s="2" t="e">
        <f t="shared" ref="AR108:AZ108" ca="1" si="368">MAX(0,MIN($R108,AR$11*$C108)-AQ$11*$C108)*AQ$10</f>
        <v>#VALUE!</v>
      </c>
      <c r="AS108" s="2" t="e">
        <f t="shared" ca="1" si="368"/>
        <v>#VALUE!</v>
      </c>
      <c r="AT108" s="2" t="e">
        <f t="shared" ca="1" si="368"/>
        <v>#VALUE!</v>
      </c>
      <c r="AU108" s="2" t="e">
        <f t="shared" ca="1" si="368"/>
        <v>#VALUE!</v>
      </c>
      <c r="AV108" s="2" t="e">
        <f t="shared" ca="1" si="368"/>
        <v>#VALUE!</v>
      </c>
      <c r="AW108" s="2" t="e">
        <f t="shared" ca="1" si="368"/>
        <v>#VALUE!</v>
      </c>
      <c r="AX108" s="2" t="e">
        <f t="shared" ca="1" si="368"/>
        <v>#VALUE!</v>
      </c>
      <c r="AY108" s="2" t="e">
        <f t="shared" ca="1" si="368"/>
        <v>#VALUE!</v>
      </c>
      <c r="AZ108" s="2" t="e">
        <f t="shared" ca="1" si="368"/>
        <v>#VALUE!</v>
      </c>
      <c r="BA108" s="25"/>
      <c r="BB108" s="2">
        <f t="shared" ca="1" si="269"/>
        <v>0</v>
      </c>
      <c r="BC108" s="2">
        <f t="shared" ref="BC108:BK108" ca="1" si="369">MAX(0,MIN($W108,BC$11*$C108)-BB$11*$C108)*BB$10</f>
        <v>0</v>
      </c>
      <c r="BD108" s="2">
        <f t="shared" ca="1" si="369"/>
        <v>0</v>
      </c>
      <c r="BE108" s="2">
        <f t="shared" ca="1" si="369"/>
        <v>0</v>
      </c>
      <c r="BF108" s="2">
        <f t="shared" ca="1" si="369"/>
        <v>0</v>
      </c>
      <c r="BG108" s="2">
        <f t="shared" ca="1" si="369"/>
        <v>0</v>
      </c>
      <c r="BH108" s="2">
        <f t="shared" ca="1" si="369"/>
        <v>0</v>
      </c>
      <c r="BI108" s="2">
        <f t="shared" ca="1" si="369"/>
        <v>0</v>
      </c>
      <c r="BJ108" s="2">
        <f t="shared" ca="1" si="369"/>
        <v>0</v>
      </c>
      <c r="BK108" s="2">
        <f t="shared" ca="1" si="369"/>
        <v>0</v>
      </c>
      <c r="BL108" s="25"/>
      <c r="BM108" s="145" t="e">
        <f t="shared" ca="1" si="271"/>
        <v>#VALUE!</v>
      </c>
      <c r="BN108" s="145" t="e">
        <f t="shared" ca="1" si="272"/>
        <v>#VALUE!</v>
      </c>
      <c r="BO108" s="145" t="e">
        <f t="shared" ca="1" si="273"/>
        <v>#VALUE!</v>
      </c>
      <c r="BP108" s="145" t="e">
        <f t="shared" ca="1" si="274"/>
        <v>#VALUE!</v>
      </c>
      <c r="BQ108" s="145">
        <f t="shared" ca="1" si="275"/>
        <v>0</v>
      </c>
      <c r="BR108" s="145" t="e">
        <f t="shared" ca="1" si="288"/>
        <v>#VALUE!</v>
      </c>
      <c r="BS108" s="145" t="e">
        <f t="shared" ca="1" si="276"/>
        <v>#VALUE!</v>
      </c>
      <c r="BT108" s="145" t="e">
        <f t="shared" ca="1" si="277"/>
        <v>#VALUE!</v>
      </c>
      <c r="BU108" s="145" t="e">
        <f t="shared" ca="1" si="278"/>
        <v>#VALUE!</v>
      </c>
      <c r="BV108" s="145" t="e">
        <f t="shared" ca="1" si="279"/>
        <v>#VALUE!</v>
      </c>
      <c r="BW108" s="146" t="e">
        <f t="shared" ca="1" si="280"/>
        <v>#VALUE!</v>
      </c>
      <c r="BX108" s="146" t="e">
        <f t="shared" ca="1" si="281"/>
        <v>#VALUE!</v>
      </c>
      <c r="BY108" s="146" t="e">
        <f t="shared" ca="1" si="282"/>
        <v>#VALUE!</v>
      </c>
    </row>
    <row r="109" spans="1:77" x14ac:dyDescent="0.25">
      <c r="A109" s="14">
        <f t="shared" si="336"/>
        <v>93</v>
      </c>
      <c r="B109" s="14">
        <f t="shared" si="336"/>
        <v>133</v>
      </c>
      <c r="C109" s="38">
        <f t="shared" si="253"/>
        <v>6.306900418700347</v>
      </c>
      <c r="D109" s="25"/>
      <c r="E109" s="74">
        <f>+SUMIFS(Income!D103:K103,Income!D$5:K$5,FALSE)</f>
        <v>157672.51046750866</v>
      </c>
      <c r="F109" s="74" t="str">
        <f ca="1">+Investments!P104</f>
        <v>EXPIRED</v>
      </c>
      <c r="G109" s="74" t="e">
        <f t="shared" ca="1" si="257"/>
        <v>#VALUE!</v>
      </c>
      <c r="H109" s="5">
        <f>+SUMIFS(Income!D103:K103,Income!D$5:K$5,TRUE)</f>
        <v>0</v>
      </c>
      <c r="I109" s="5" t="str">
        <f ca="1">+Investments!Q104</f>
        <v>EXPIRED</v>
      </c>
      <c r="J109" s="5">
        <f ca="1">+RealEstate!G98</f>
        <v>0</v>
      </c>
      <c r="K109" s="5">
        <f t="shared" ca="1" si="258"/>
        <v>0</v>
      </c>
      <c r="L109" s="5">
        <f t="shared" ca="1" si="259"/>
        <v>0</v>
      </c>
      <c r="M109" s="25"/>
      <c r="N109" s="77" t="str">
        <f ca="1">+Investments!N104</f>
        <v>EXPIRED</v>
      </c>
      <c r="O109" s="77">
        <f t="shared" ca="1" si="191"/>
        <v>0</v>
      </c>
      <c r="P109" s="25"/>
      <c r="Q109" s="32" t="e">
        <f t="shared" ca="1" si="289"/>
        <v>#VALUE!</v>
      </c>
      <c r="R109" s="32" t="e">
        <f t="shared" ca="1" si="260"/>
        <v>#VALUE!</v>
      </c>
      <c r="S109" s="32" t="e">
        <f ca="1">+AQ109+RealEstate!H98</f>
        <v>#VALUE!</v>
      </c>
      <c r="T109" s="32">
        <f ca="1">+RealEstate!I98</f>
        <v>0</v>
      </c>
      <c r="U109" s="32" t="e">
        <f t="shared" ca="1" si="261"/>
        <v>#VALUE!</v>
      </c>
      <c r="V109" s="32" t="e">
        <f t="shared" ca="1" si="284"/>
        <v>#VALUE!</v>
      </c>
      <c r="W109" s="32">
        <f t="shared" ca="1" si="262"/>
        <v>0</v>
      </c>
      <c r="Z109" s="25"/>
      <c r="AA109" s="90" t="e">
        <f t="shared" ca="1" si="305"/>
        <v>#VALUE!</v>
      </c>
      <c r="AB109" s="25"/>
      <c r="AC109" s="2" t="e">
        <f t="shared" ca="1" si="263"/>
        <v>#VALUE!</v>
      </c>
      <c r="AD109" s="2" t="e">
        <f t="shared" ref="AD109:AL109" ca="1" si="370">MAX(0,MIN($V109,AD$11*$C109)-AC$11*$C109)*AC$10</f>
        <v>#VALUE!</v>
      </c>
      <c r="AE109" s="2" t="e">
        <f t="shared" ca="1" si="370"/>
        <v>#VALUE!</v>
      </c>
      <c r="AF109" s="2" t="e">
        <f t="shared" ca="1" si="370"/>
        <v>#VALUE!</v>
      </c>
      <c r="AG109" s="2" t="e">
        <f t="shared" ca="1" si="370"/>
        <v>#VALUE!</v>
      </c>
      <c r="AH109" s="2" t="e">
        <f t="shared" ca="1" si="370"/>
        <v>#VALUE!</v>
      </c>
      <c r="AI109" s="2" t="e">
        <f t="shared" ca="1" si="370"/>
        <v>#VALUE!</v>
      </c>
      <c r="AJ109" s="2" t="e">
        <f t="shared" ca="1" si="370"/>
        <v>#VALUE!</v>
      </c>
      <c r="AK109" s="2" t="e">
        <f t="shared" ca="1" si="370"/>
        <v>#VALUE!</v>
      </c>
      <c r="AL109" s="2" t="e">
        <f t="shared" ca="1" si="370"/>
        <v>#VALUE!</v>
      </c>
      <c r="AM109" s="25"/>
      <c r="AN109" s="2" t="e">
        <f t="shared" ca="1" si="265"/>
        <v>#VALUE!</v>
      </c>
      <c r="AO109" s="2" t="e">
        <f t="shared" ca="1" si="266"/>
        <v>#VALUE!</v>
      </c>
      <c r="AP109" s="25"/>
      <c r="AQ109" s="2" t="e">
        <f t="shared" ca="1" si="267"/>
        <v>#VALUE!</v>
      </c>
      <c r="AR109" s="2" t="e">
        <f t="shared" ref="AR109:AZ109" ca="1" si="371">MAX(0,MIN($R109,AR$11*$C109)-AQ$11*$C109)*AQ$10</f>
        <v>#VALUE!</v>
      </c>
      <c r="AS109" s="2" t="e">
        <f t="shared" ca="1" si="371"/>
        <v>#VALUE!</v>
      </c>
      <c r="AT109" s="2" t="e">
        <f t="shared" ca="1" si="371"/>
        <v>#VALUE!</v>
      </c>
      <c r="AU109" s="2" t="e">
        <f t="shared" ca="1" si="371"/>
        <v>#VALUE!</v>
      </c>
      <c r="AV109" s="2" t="e">
        <f t="shared" ca="1" si="371"/>
        <v>#VALUE!</v>
      </c>
      <c r="AW109" s="2" t="e">
        <f t="shared" ca="1" si="371"/>
        <v>#VALUE!</v>
      </c>
      <c r="AX109" s="2" t="e">
        <f t="shared" ca="1" si="371"/>
        <v>#VALUE!</v>
      </c>
      <c r="AY109" s="2" t="e">
        <f t="shared" ca="1" si="371"/>
        <v>#VALUE!</v>
      </c>
      <c r="AZ109" s="2" t="e">
        <f t="shared" ca="1" si="371"/>
        <v>#VALUE!</v>
      </c>
      <c r="BA109" s="25"/>
      <c r="BB109" s="2">
        <f t="shared" ca="1" si="269"/>
        <v>0</v>
      </c>
      <c r="BC109" s="2">
        <f t="shared" ref="BC109:BK109" ca="1" si="372">MAX(0,MIN($W109,BC$11*$C109)-BB$11*$C109)*BB$10</f>
        <v>0</v>
      </c>
      <c r="BD109" s="2">
        <f t="shared" ca="1" si="372"/>
        <v>0</v>
      </c>
      <c r="BE109" s="2">
        <f t="shared" ca="1" si="372"/>
        <v>0</v>
      </c>
      <c r="BF109" s="2">
        <f t="shared" ca="1" si="372"/>
        <v>0</v>
      </c>
      <c r="BG109" s="2">
        <f t="shared" ca="1" si="372"/>
        <v>0</v>
      </c>
      <c r="BH109" s="2">
        <f t="shared" ca="1" si="372"/>
        <v>0</v>
      </c>
      <c r="BI109" s="2">
        <f t="shared" ca="1" si="372"/>
        <v>0</v>
      </c>
      <c r="BJ109" s="2">
        <f t="shared" ca="1" si="372"/>
        <v>0</v>
      </c>
      <c r="BK109" s="2">
        <f t="shared" ca="1" si="372"/>
        <v>0</v>
      </c>
      <c r="BL109" s="25"/>
      <c r="BM109" s="145" t="e">
        <f t="shared" ca="1" si="271"/>
        <v>#VALUE!</v>
      </c>
      <c r="BN109" s="145" t="e">
        <f t="shared" ca="1" si="272"/>
        <v>#VALUE!</v>
      </c>
      <c r="BO109" s="145" t="e">
        <f t="shared" ca="1" si="273"/>
        <v>#VALUE!</v>
      </c>
      <c r="BP109" s="145" t="e">
        <f t="shared" ca="1" si="274"/>
        <v>#VALUE!</v>
      </c>
      <c r="BQ109" s="145">
        <f t="shared" ca="1" si="275"/>
        <v>0</v>
      </c>
      <c r="BR109" s="145" t="e">
        <f t="shared" ca="1" si="288"/>
        <v>#VALUE!</v>
      </c>
      <c r="BS109" s="145" t="e">
        <f t="shared" ca="1" si="276"/>
        <v>#VALUE!</v>
      </c>
      <c r="BT109" s="145" t="e">
        <f t="shared" ca="1" si="277"/>
        <v>#VALUE!</v>
      </c>
      <c r="BU109" s="145" t="e">
        <f t="shared" ca="1" si="278"/>
        <v>#VALUE!</v>
      </c>
      <c r="BV109" s="145" t="e">
        <f t="shared" ca="1" si="279"/>
        <v>#VALUE!</v>
      </c>
      <c r="BW109" s="146" t="e">
        <f t="shared" ca="1" si="280"/>
        <v>#VALUE!</v>
      </c>
      <c r="BX109" s="146" t="e">
        <f t="shared" ca="1" si="281"/>
        <v>#VALUE!</v>
      </c>
      <c r="BY109" s="146" t="e">
        <f t="shared" ca="1" si="282"/>
        <v>#VALUE!</v>
      </c>
    </row>
    <row r="110" spans="1:77" x14ac:dyDescent="0.25">
      <c r="A110" s="14">
        <f t="shared" si="336"/>
        <v>94</v>
      </c>
      <c r="B110" s="14">
        <f t="shared" si="336"/>
        <v>134</v>
      </c>
      <c r="C110" s="38">
        <f t="shared" si="253"/>
        <v>6.4330384270743544</v>
      </c>
      <c r="D110" s="26"/>
      <c r="E110" s="74">
        <f>+SUMIFS(Income!D104:K104,Income!D$5:K$5,FALSE)</f>
        <v>160825.96067685887</v>
      </c>
      <c r="F110" s="74" t="str">
        <f ca="1">+Investments!P105</f>
        <v>EXPIRED</v>
      </c>
      <c r="G110" s="74" t="e">
        <f t="shared" ca="1" si="257"/>
        <v>#VALUE!</v>
      </c>
      <c r="H110" s="5">
        <f>+SUMIFS(Income!D104:K104,Income!D$5:K$5,TRUE)</f>
        <v>0</v>
      </c>
      <c r="I110" s="5" t="str">
        <f ca="1">+Investments!Q105</f>
        <v>EXPIRED</v>
      </c>
      <c r="J110" s="5">
        <f ca="1">+RealEstate!G99</f>
        <v>0</v>
      </c>
      <c r="K110" s="5">
        <f t="shared" ca="1" si="258"/>
        <v>0</v>
      </c>
      <c r="L110" s="5">
        <f t="shared" ca="1" si="259"/>
        <v>0</v>
      </c>
      <c r="M110" s="26"/>
      <c r="N110" s="77" t="str">
        <f ca="1">+Investments!N105</f>
        <v>EXPIRED</v>
      </c>
      <c r="O110" s="77">
        <f t="shared" ca="1" si="191"/>
        <v>0</v>
      </c>
      <c r="P110" s="25"/>
      <c r="Q110" s="32" t="e">
        <f t="shared" ca="1" si="289"/>
        <v>#VALUE!</v>
      </c>
      <c r="R110" s="32" t="e">
        <f t="shared" ca="1" si="260"/>
        <v>#VALUE!</v>
      </c>
      <c r="S110" s="32" t="e">
        <f ca="1">+AQ110+RealEstate!H99</f>
        <v>#VALUE!</v>
      </c>
      <c r="T110" s="32">
        <f ca="1">+RealEstate!I99</f>
        <v>0</v>
      </c>
      <c r="U110" s="32" t="e">
        <f t="shared" ca="1" si="261"/>
        <v>#VALUE!</v>
      </c>
      <c r="V110" s="32" t="e">
        <f t="shared" ca="1" si="284"/>
        <v>#VALUE!</v>
      </c>
      <c r="W110" s="32">
        <f t="shared" ca="1" si="262"/>
        <v>0</v>
      </c>
      <c r="Z110" s="26"/>
      <c r="AA110" s="90" t="e">
        <f t="shared" ca="1" si="305"/>
        <v>#VALUE!</v>
      </c>
      <c r="AB110" s="26"/>
      <c r="AC110" s="2" t="e">
        <f t="shared" ca="1" si="263"/>
        <v>#VALUE!</v>
      </c>
      <c r="AD110" s="2" t="e">
        <f t="shared" ref="AD110:AL110" ca="1" si="373">MAX(0,MIN($V110,AD$11*$C110)-AC$11*$C110)*AC$10</f>
        <v>#VALUE!</v>
      </c>
      <c r="AE110" s="2" t="e">
        <f t="shared" ca="1" si="373"/>
        <v>#VALUE!</v>
      </c>
      <c r="AF110" s="2" t="e">
        <f t="shared" ca="1" si="373"/>
        <v>#VALUE!</v>
      </c>
      <c r="AG110" s="2" t="e">
        <f t="shared" ca="1" si="373"/>
        <v>#VALUE!</v>
      </c>
      <c r="AH110" s="2" t="e">
        <f t="shared" ca="1" si="373"/>
        <v>#VALUE!</v>
      </c>
      <c r="AI110" s="2" t="e">
        <f t="shared" ca="1" si="373"/>
        <v>#VALUE!</v>
      </c>
      <c r="AJ110" s="2" t="e">
        <f t="shared" ca="1" si="373"/>
        <v>#VALUE!</v>
      </c>
      <c r="AK110" s="2" t="e">
        <f t="shared" ca="1" si="373"/>
        <v>#VALUE!</v>
      </c>
      <c r="AL110" s="2" t="e">
        <f t="shared" ca="1" si="373"/>
        <v>#VALUE!</v>
      </c>
      <c r="AM110" s="25"/>
      <c r="AN110" s="2" t="e">
        <f t="shared" ca="1" si="265"/>
        <v>#VALUE!</v>
      </c>
      <c r="AO110" s="2" t="e">
        <f t="shared" ca="1" si="266"/>
        <v>#VALUE!</v>
      </c>
      <c r="AP110" s="25"/>
      <c r="AQ110" s="2" t="e">
        <f t="shared" ca="1" si="267"/>
        <v>#VALUE!</v>
      </c>
      <c r="AR110" s="2" t="e">
        <f t="shared" ref="AR110:AZ110" ca="1" si="374">MAX(0,MIN($R110,AR$11*$C110)-AQ$11*$C110)*AQ$10</f>
        <v>#VALUE!</v>
      </c>
      <c r="AS110" s="2" t="e">
        <f t="shared" ca="1" si="374"/>
        <v>#VALUE!</v>
      </c>
      <c r="AT110" s="2" t="e">
        <f t="shared" ca="1" si="374"/>
        <v>#VALUE!</v>
      </c>
      <c r="AU110" s="2" t="e">
        <f t="shared" ca="1" si="374"/>
        <v>#VALUE!</v>
      </c>
      <c r="AV110" s="2" t="e">
        <f t="shared" ca="1" si="374"/>
        <v>#VALUE!</v>
      </c>
      <c r="AW110" s="2" t="e">
        <f t="shared" ca="1" si="374"/>
        <v>#VALUE!</v>
      </c>
      <c r="AX110" s="2" t="e">
        <f t="shared" ca="1" si="374"/>
        <v>#VALUE!</v>
      </c>
      <c r="AY110" s="2" t="e">
        <f t="shared" ca="1" si="374"/>
        <v>#VALUE!</v>
      </c>
      <c r="AZ110" s="2" t="e">
        <f t="shared" ca="1" si="374"/>
        <v>#VALUE!</v>
      </c>
      <c r="BA110" s="25"/>
      <c r="BB110" s="2">
        <f t="shared" ca="1" si="269"/>
        <v>0</v>
      </c>
      <c r="BC110" s="2">
        <f t="shared" ref="BC110:BK110" ca="1" si="375">MAX(0,MIN($W110,BC$11*$C110)-BB$11*$C110)*BB$10</f>
        <v>0</v>
      </c>
      <c r="BD110" s="2">
        <f t="shared" ca="1" si="375"/>
        <v>0</v>
      </c>
      <c r="BE110" s="2">
        <f t="shared" ca="1" si="375"/>
        <v>0</v>
      </c>
      <c r="BF110" s="2">
        <f t="shared" ca="1" si="375"/>
        <v>0</v>
      </c>
      <c r="BG110" s="2">
        <f t="shared" ca="1" si="375"/>
        <v>0</v>
      </c>
      <c r="BH110" s="2">
        <f t="shared" ca="1" si="375"/>
        <v>0</v>
      </c>
      <c r="BI110" s="2">
        <f t="shared" ca="1" si="375"/>
        <v>0</v>
      </c>
      <c r="BJ110" s="2">
        <f t="shared" ca="1" si="375"/>
        <v>0</v>
      </c>
      <c r="BK110" s="2">
        <f t="shared" ca="1" si="375"/>
        <v>0</v>
      </c>
      <c r="BL110" s="25"/>
      <c r="BM110" s="145" t="e">
        <f t="shared" ca="1" si="271"/>
        <v>#VALUE!</v>
      </c>
      <c r="BN110" s="145" t="e">
        <f t="shared" ca="1" si="272"/>
        <v>#VALUE!</v>
      </c>
      <c r="BO110" s="145" t="e">
        <f t="shared" ca="1" si="273"/>
        <v>#VALUE!</v>
      </c>
      <c r="BP110" s="145" t="e">
        <f t="shared" ca="1" si="274"/>
        <v>#VALUE!</v>
      </c>
      <c r="BQ110" s="145">
        <f t="shared" ca="1" si="275"/>
        <v>0</v>
      </c>
      <c r="BR110" s="145" t="e">
        <f t="shared" ca="1" si="288"/>
        <v>#VALUE!</v>
      </c>
      <c r="BS110" s="145" t="e">
        <f t="shared" ca="1" si="276"/>
        <v>#VALUE!</v>
      </c>
      <c r="BT110" s="145" t="e">
        <f t="shared" ca="1" si="277"/>
        <v>#VALUE!</v>
      </c>
      <c r="BU110" s="145" t="e">
        <f t="shared" ca="1" si="278"/>
        <v>#VALUE!</v>
      </c>
      <c r="BV110" s="145" t="e">
        <f t="shared" ca="1" si="279"/>
        <v>#VALUE!</v>
      </c>
      <c r="BW110" s="146" t="e">
        <f t="shared" ca="1" si="280"/>
        <v>#VALUE!</v>
      </c>
      <c r="BX110" s="146" t="e">
        <f t="shared" ca="1" si="281"/>
        <v>#VALUE!</v>
      </c>
      <c r="BY110" s="146" t="e">
        <f t="shared" ca="1" si="282"/>
        <v>#VALUE!</v>
      </c>
    </row>
    <row r="111" spans="1:77" x14ac:dyDescent="0.25">
      <c r="A111" s="14">
        <f t="shared" si="336"/>
        <v>95</v>
      </c>
      <c r="B111" s="14">
        <f t="shared" si="336"/>
        <v>135</v>
      </c>
      <c r="C111" s="38">
        <f t="shared" si="253"/>
        <v>6.5616991956158399</v>
      </c>
      <c r="D111" s="26"/>
      <c r="E111" s="74">
        <f>+SUMIFS(Income!D105:K105,Income!D$5:K$5,FALSE)</f>
        <v>164042.479890396</v>
      </c>
      <c r="F111" s="74" t="str">
        <f ca="1">+Investments!P106</f>
        <v>EXPIRED</v>
      </c>
      <c r="G111" s="74" t="e">
        <f t="shared" ca="1" si="257"/>
        <v>#VALUE!</v>
      </c>
      <c r="H111" s="5">
        <f>+SUMIFS(Income!D105:K105,Income!D$5:K$5,TRUE)</f>
        <v>0</v>
      </c>
      <c r="I111" s="5" t="str">
        <f ca="1">+Investments!Q106</f>
        <v>EXPIRED</v>
      </c>
      <c r="J111" s="5">
        <f ca="1">+RealEstate!G100</f>
        <v>0</v>
      </c>
      <c r="K111" s="5">
        <f t="shared" ca="1" si="258"/>
        <v>0</v>
      </c>
      <c r="L111" s="5">
        <f t="shared" ca="1" si="259"/>
        <v>0</v>
      </c>
      <c r="M111" s="26"/>
      <c r="N111" s="77" t="str">
        <f ca="1">+Investments!N106</f>
        <v>EXPIRED</v>
      </c>
      <c r="O111" s="77">
        <f t="shared" ca="1" si="191"/>
        <v>0</v>
      </c>
      <c r="P111" s="25"/>
      <c r="Q111" s="32" t="e">
        <f t="shared" ca="1" si="289"/>
        <v>#VALUE!</v>
      </c>
      <c r="R111" s="32" t="e">
        <f t="shared" ca="1" si="260"/>
        <v>#VALUE!</v>
      </c>
      <c r="S111" s="32" t="e">
        <f ca="1">+AQ111+RealEstate!H100</f>
        <v>#VALUE!</v>
      </c>
      <c r="T111" s="32">
        <f ca="1">+RealEstate!I100</f>
        <v>0</v>
      </c>
      <c r="U111" s="32" t="e">
        <f t="shared" ca="1" si="261"/>
        <v>#VALUE!</v>
      </c>
      <c r="V111" s="32" t="e">
        <f t="shared" ca="1" si="284"/>
        <v>#VALUE!</v>
      </c>
      <c r="W111" s="32">
        <f t="shared" ca="1" si="262"/>
        <v>0</v>
      </c>
      <c r="Z111" s="26"/>
      <c r="AA111" s="90" t="e">
        <f t="shared" ca="1" si="305"/>
        <v>#VALUE!</v>
      </c>
      <c r="AB111" s="26"/>
      <c r="AC111" s="2" t="e">
        <f t="shared" ca="1" si="263"/>
        <v>#VALUE!</v>
      </c>
      <c r="AD111" s="2" t="e">
        <f t="shared" ref="AD111:AL111" ca="1" si="376">MAX(0,MIN($V111,AD$11*$C111)-AC$11*$C111)*AC$10</f>
        <v>#VALUE!</v>
      </c>
      <c r="AE111" s="2" t="e">
        <f t="shared" ca="1" si="376"/>
        <v>#VALUE!</v>
      </c>
      <c r="AF111" s="2" t="e">
        <f t="shared" ca="1" si="376"/>
        <v>#VALUE!</v>
      </c>
      <c r="AG111" s="2" t="e">
        <f t="shared" ca="1" si="376"/>
        <v>#VALUE!</v>
      </c>
      <c r="AH111" s="2" t="e">
        <f t="shared" ca="1" si="376"/>
        <v>#VALUE!</v>
      </c>
      <c r="AI111" s="2" t="e">
        <f t="shared" ca="1" si="376"/>
        <v>#VALUE!</v>
      </c>
      <c r="AJ111" s="2" t="e">
        <f t="shared" ca="1" si="376"/>
        <v>#VALUE!</v>
      </c>
      <c r="AK111" s="2" t="e">
        <f t="shared" ca="1" si="376"/>
        <v>#VALUE!</v>
      </c>
      <c r="AL111" s="2" t="e">
        <f t="shared" ca="1" si="376"/>
        <v>#VALUE!</v>
      </c>
      <c r="AM111" s="25"/>
      <c r="AN111" s="2" t="e">
        <f t="shared" ca="1" si="265"/>
        <v>#VALUE!</v>
      </c>
      <c r="AO111" s="2" t="e">
        <f t="shared" ca="1" si="266"/>
        <v>#VALUE!</v>
      </c>
      <c r="AP111" s="25"/>
      <c r="AQ111" s="2" t="e">
        <f t="shared" ca="1" si="267"/>
        <v>#VALUE!</v>
      </c>
      <c r="AR111" s="2" t="e">
        <f t="shared" ref="AR111:AZ111" ca="1" si="377">MAX(0,MIN($R111,AR$11*$C111)-AQ$11*$C111)*AQ$10</f>
        <v>#VALUE!</v>
      </c>
      <c r="AS111" s="2" t="e">
        <f t="shared" ca="1" si="377"/>
        <v>#VALUE!</v>
      </c>
      <c r="AT111" s="2" t="e">
        <f t="shared" ca="1" si="377"/>
        <v>#VALUE!</v>
      </c>
      <c r="AU111" s="2" t="e">
        <f t="shared" ca="1" si="377"/>
        <v>#VALUE!</v>
      </c>
      <c r="AV111" s="2" t="e">
        <f t="shared" ca="1" si="377"/>
        <v>#VALUE!</v>
      </c>
      <c r="AW111" s="2" t="e">
        <f t="shared" ca="1" si="377"/>
        <v>#VALUE!</v>
      </c>
      <c r="AX111" s="2" t="e">
        <f t="shared" ca="1" si="377"/>
        <v>#VALUE!</v>
      </c>
      <c r="AY111" s="2" t="e">
        <f t="shared" ca="1" si="377"/>
        <v>#VALUE!</v>
      </c>
      <c r="AZ111" s="2" t="e">
        <f t="shared" ca="1" si="377"/>
        <v>#VALUE!</v>
      </c>
      <c r="BA111" s="25"/>
      <c r="BB111" s="2">
        <f t="shared" ca="1" si="269"/>
        <v>0</v>
      </c>
      <c r="BC111" s="2">
        <f t="shared" ref="BC111:BK111" ca="1" si="378">MAX(0,MIN($W111,BC$11*$C111)-BB$11*$C111)*BB$10</f>
        <v>0</v>
      </c>
      <c r="BD111" s="2">
        <f t="shared" ca="1" si="378"/>
        <v>0</v>
      </c>
      <c r="BE111" s="2">
        <f t="shared" ca="1" si="378"/>
        <v>0</v>
      </c>
      <c r="BF111" s="2">
        <f t="shared" ca="1" si="378"/>
        <v>0</v>
      </c>
      <c r="BG111" s="2">
        <f t="shared" ca="1" si="378"/>
        <v>0</v>
      </c>
      <c r="BH111" s="2">
        <f t="shared" ca="1" si="378"/>
        <v>0</v>
      </c>
      <c r="BI111" s="2">
        <f t="shared" ca="1" si="378"/>
        <v>0</v>
      </c>
      <c r="BJ111" s="2">
        <f t="shared" ca="1" si="378"/>
        <v>0</v>
      </c>
      <c r="BK111" s="2">
        <f t="shared" ca="1" si="378"/>
        <v>0</v>
      </c>
      <c r="BL111" s="25"/>
      <c r="BM111" s="145" t="e">
        <f t="shared" ca="1" si="271"/>
        <v>#VALUE!</v>
      </c>
      <c r="BN111" s="145" t="e">
        <f t="shared" ca="1" si="272"/>
        <v>#VALUE!</v>
      </c>
      <c r="BO111" s="145" t="e">
        <f t="shared" ca="1" si="273"/>
        <v>#VALUE!</v>
      </c>
      <c r="BP111" s="145" t="e">
        <f t="shared" ca="1" si="274"/>
        <v>#VALUE!</v>
      </c>
      <c r="BQ111" s="145">
        <f t="shared" ca="1" si="275"/>
        <v>0</v>
      </c>
      <c r="BR111" s="145" t="e">
        <f t="shared" ca="1" si="288"/>
        <v>#VALUE!</v>
      </c>
      <c r="BS111" s="145" t="e">
        <f t="shared" ca="1" si="276"/>
        <v>#VALUE!</v>
      </c>
      <c r="BT111" s="145" t="e">
        <f t="shared" ca="1" si="277"/>
        <v>#VALUE!</v>
      </c>
      <c r="BU111" s="145" t="e">
        <f t="shared" ca="1" si="278"/>
        <v>#VALUE!</v>
      </c>
      <c r="BV111" s="145" t="e">
        <f t="shared" ca="1" si="279"/>
        <v>#VALUE!</v>
      </c>
      <c r="BW111" s="146" t="e">
        <f t="shared" ca="1" si="280"/>
        <v>#VALUE!</v>
      </c>
      <c r="BX111" s="146" t="e">
        <f t="shared" ca="1" si="281"/>
        <v>#VALUE!</v>
      </c>
      <c r="BY111" s="146" t="e">
        <f t="shared" ca="1" si="282"/>
        <v>#VALUE!</v>
      </c>
    </row>
    <row r="112" spans="1:77" x14ac:dyDescent="0.25">
      <c r="A112" s="14">
        <f t="shared" si="336"/>
        <v>96</v>
      </c>
      <c r="B112" s="14">
        <f t="shared" si="336"/>
        <v>136</v>
      </c>
      <c r="C112" s="38">
        <f t="shared" si="253"/>
        <v>6.6929331795281577</v>
      </c>
      <c r="D112" s="26"/>
      <c r="E112" s="74">
        <f>+SUMIFS(Income!D106:K106,Income!D$5:K$5,FALSE)</f>
        <v>167323.32948820395</v>
      </c>
      <c r="F112" s="74" t="str">
        <f ca="1">+Investments!P107</f>
        <v>EXPIRED</v>
      </c>
      <c r="G112" s="74" t="e">
        <f t="shared" ca="1" si="257"/>
        <v>#VALUE!</v>
      </c>
      <c r="H112" s="5">
        <f>+SUMIFS(Income!D106:K106,Income!D$5:K$5,TRUE)</f>
        <v>0</v>
      </c>
      <c r="I112" s="5" t="str">
        <f ca="1">+Investments!Q107</f>
        <v>EXPIRED</v>
      </c>
      <c r="J112" s="5">
        <f ca="1">+RealEstate!G101</f>
        <v>0</v>
      </c>
      <c r="K112" s="5">
        <f t="shared" ca="1" si="258"/>
        <v>0</v>
      </c>
      <c r="L112" s="5">
        <f t="shared" ca="1" si="259"/>
        <v>0</v>
      </c>
      <c r="M112" s="26"/>
      <c r="N112" s="77" t="str">
        <f ca="1">+Investments!N107</f>
        <v>EXPIRED</v>
      </c>
      <c r="O112" s="77">
        <f t="shared" ca="1" si="191"/>
        <v>0</v>
      </c>
      <c r="P112" s="25"/>
      <c r="Q112" s="32" t="e">
        <f t="shared" ca="1" si="289"/>
        <v>#VALUE!</v>
      </c>
      <c r="R112" s="32" t="e">
        <f t="shared" ca="1" si="260"/>
        <v>#VALUE!</v>
      </c>
      <c r="S112" s="32" t="e">
        <f ca="1">+AQ112+RealEstate!H101</f>
        <v>#VALUE!</v>
      </c>
      <c r="T112" s="32">
        <f ca="1">+RealEstate!I101</f>
        <v>0</v>
      </c>
      <c r="U112" s="32" t="e">
        <f t="shared" ca="1" si="261"/>
        <v>#VALUE!</v>
      </c>
      <c r="V112" s="32" t="e">
        <f t="shared" ca="1" si="284"/>
        <v>#VALUE!</v>
      </c>
      <c r="W112" s="32">
        <f t="shared" ca="1" si="262"/>
        <v>0</v>
      </c>
      <c r="Z112" s="26"/>
      <c r="AA112" s="90" t="e">
        <f t="shared" ca="1" si="305"/>
        <v>#VALUE!</v>
      </c>
      <c r="AB112" s="26"/>
      <c r="AC112" s="2" t="e">
        <f t="shared" ca="1" si="263"/>
        <v>#VALUE!</v>
      </c>
      <c r="AD112" s="2" t="e">
        <f t="shared" ref="AD112:AL112" ca="1" si="379">MAX(0,MIN($V112,AD$11*$C112)-AC$11*$C112)*AC$10</f>
        <v>#VALUE!</v>
      </c>
      <c r="AE112" s="2" t="e">
        <f t="shared" ca="1" si="379"/>
        <v>#VALUE!</v>
      </c>
      <c r="AF112" s="2" t="e">
        <f t="shared" ca="1" si="379"/>
        <v>#VALUE!</v>
      </c>
      <c r="AG112" s="2" t="e">
        <f t="shared" ca="1" si="379"/>
        <v>#VALUE!</v>
      </c>
      <c r="AH112" s="2" t="e">
        <f t="shared" ca="1" si="379"/>
        <v>#VALUE!</v>
      </c>
      <c r="AI112" s="2" t="e">
        <f t="shared" ca="1" si="379"/>
        <v>#VALUE!</v>
      </c>
      <c r="AJ112" s="2" t="e">
        <f t="shared" ca="1" si="379"/>
        <v>#VALUE!</v>
      </c>
      <c r="AK112" s="2" t="e">
        <f t="shared" ca="1" si="379"/>
        <v>#VALUE!</v>
      </c>
      <c r="AL112" s="2" t="e">
        <f t="shared" ca="1" si="379"/>
        <v>#VALUE!</v>
      </c>
      <c r="AM112" s="25"/>
      <c r="AN112" s="2" t="e">
        <f t="shared" ca="1" si="265"/>
        <v>#VALUE!</v>
      </c>
      <c r="AO112" s="2" t="e">
        <f t="shared" ca="1" si="266"/>
        <v>#VALUE!</v>
      </c>
      <c r="AP112" s="25"/>
      <c r="AQ112" s="2" t="e">
        <f t="shared" ca="1" si="267"/>
        <v>#VALUE!</v>
      </c>
      <c r="AR112" s="2" t="e">
        <f t="shared" ref="AR112:AZ112" ca="1" si="380">MAX(0,MIN($R112,AR$11*$C112)-AQ$11*$C112)*AQ$10</f>
        <v>#VALUE!</v>
      </c>
      <c r="AS112" s="2" t="e">
        <f t="shared" ca="1" si="380"/>
        <v>#VALUE!</v>
      </c>
      <c r="AT112" s="2" t="e">
        <f t="shared" ca="1" si="380"/>
        <v>#VALUE!</v>
      </c>
      <c r="AU112" s="2" t="e">
        <f t="shared" ca="1" si="380"/>
        <v>#VALUE!</v>
      </c>
      <c r="AV112" s="2" t="e">
        <f t="shared" ca="1" si="380"/>
        <v>#VALUE!</v>
      </c>
      <c r="AW112" s="2" t="e">
        <f t="shared" ca="1" si="380"/>
        <v>#VALUE!</v>
      </c>
      <c r="AX112" s="2" t="e">
        <f t="shared" ca="1" si="380"/>
        <v>#VALUE!</v>
      </c>
      <c r="AY112" s="2" t="e">
        <f t="shared" ca="1" si="380"/>
        <v>#VALUE!</v>
      </c>
      <c r="AZ112" s="2" t="e">
        <f t="shared" ca="1" si="380"/>
        <v>#VALUE!</v>
      </c>
      <c r="BA112" s="25"/>
      <c r="BB112" s="2">
        <f t="shared" ca="1" si="269"/>
        <v>0</v>
      </c>
      <c r="BC112" s="2">
        <f t="shared" ref="BC112:BK112" ca="1" si="381">MAX(0,MIN($W112,BC$11*$C112)-BB$11*$C112)*BB$10</f>
        <v>0</v>
      </c>
      <c r="BD112" s="2">
        <f t="shared" ca="1" si="381"/>
        <v>0</v>
      </c>
      <c r="BE112" s="2">
        <f t="shared" ca="1" si="381"/>
        <v>0</v>
      </c>
      <c r="BF112" s="2">
        <f t="shared" ca="1" si="381"/>
        <v>0</v>
      </c>
      <c r="BG112" s="2">
        <f t="shared" ca="1" si="381"/>
        <v>0</v>
      </c>
      <c r="BH112" s="2">
        <f t="shared" ca="1" si="381"/>
        <v>0</v>
      </c>
      <c r="BI112" s="2">
        <f t="shared" ca="1" si="381"/>
        <v>0</v>
      </c>
      <c r="BJ112" s="2">
        <f t="shared" ca="1" si="381"/>
        <v>0</v>
      </c>
      <c r="BK112" s="2">
        <f t="shared" ca="1" si="381"/>
        <v>0</v>
      </c>
      <c r="BL112" s="25"/>
      <c r="BM112" s="145" t="e">
        <f t="shared" ca="1" si="271"/>
        <v>#VALUE!</v>
      </c>
      <c r="BN112" s="145" t="e">
        <f t="shared" ca="1" si="272"/>
        <v>#VALUE!</v>
      </c>
      <c r="BO112" s="145" t="e">
        <f t="shared" ca="1" si="273"/>
        <v>#VALUE!</v>
      </c>
      <c r="BP112" s="145" t="e">
        <f t="shared" ca="1" si="274"/>
        <v>#VALUE!</v>
      </c>
      <c r="BQ112" s="145">
        <f t="shared" ca="1" si="275"/>
        <v>0</v>
      </c>
      <c r="BR112" s="145" t="e">
        <f t="shared" ca="1" si="288"/>
        <v>#VALUE!</v>
      </c>
      <c r="BS112" s="145" t="e">
        <f t="shared" ca="1" si="276"/>
        <v>#VALUE!</v>
      </c>
      <c r="BT112" s="145" t="e">
        <f t="shared" ca="1" si="277"/>
        <v>#VALUE!</v>
      </c>
      <c r="BU112" s="145" t="e">
        <f t="shared" ca="1" si="278"/>
        <v>#VALUE!</v>
      </c>
      <c r="BV112" s="145" t="e">
        <f t="shared" ca="1" si="279"/>
        <v>#VALUE!</v>
      </c>
      <c r="BW112" s="146" t="e">
        <f t="shared" ca="1" si="280"/>
        <v>#VALUE!</v>
      </c>
      <c r="BX112" s="146" t="e">
        <f t="shared" ca="1" si="281"/>
        <v>#VALUE!</v>
      </c>
      <c r="BY112" s="146" t="e">
        <f t="shared" ca="1" si="282"/>
        <v>#VALUE!</v>
      </c>
    </row>
    <row r="113" spans="1:77" x14ac:dyDescent="0.25">
      <c r="A113" s="14">
        <f t="shared" si="336"/>
        <v>97</v>
      </c>
      <c r="B113" s="14">
        <f t="shared" si="336"/>
        <v>137</v>
      </c>
      <c r="C113" s="38">
        <f t="shared" si="253"/>
        <v>6.8267918431187216</v>
      </c>
      <c r="D113" s="26"/>
      <c r="E113" s="74">
        <f>+SUMIFS(Income!D107:K107,Income!D$5:K$5,FALSE)</f>
        <v>170669.79607796803</v>
      </c>
      <c r="F113" s="74" t="str">
        <f ca="1">+Investments!P108</f>
        <v>EXPIRED</v>
      </c>
      <c r="G113" s="74" t="e">
        <f t="shared" ref="G113:G116" ca="1" si="382">+E113+F113</f>
        <v>#VALUE!</v>
      </c>
      <c r="H113" s="5">
        <f>+SUMIFS(Income!D107:K107,Income!D$5:K$5,TRUE)</f>
        <v>0</v>
      </c>
      <c r="I113" s="5" t="str">
        <f ca="1">+Investments!Q108</f>
        <v>EXPIRED</v>
      </c>
      <c r="J113" s="5">
        <f ca="1">+RealEstate!G102</f>
        <v>0</v>
      </c>
      <c r="K113" s="5">
        <f t="shared" ref="K113:K116" ca="1" si="383">+SUM(H113:J113)</f>
        <v>0</v>
      </c>
      <c r="L113" s="5">
        <f t="shared" ca="1" si="259"/>
        <v>0</v>
      </c>
      <c r="M113" s="26"/>
      <c r="N113" s="77" t="str">
        <f ca="1">+Investments!N108</f>
        <v>EXPIRED</v>
      </c>
      <c r="O113" s="77">
        <f t="shared" ca="1" si="191"/>
        <v>0</v>
      </c>
      <c r="P113" s="25"/>
      <c r="Q113" s="32" t="e">
        <f t="shared" ca="1" si="289"/>
        <v>#VALUE!</v>
      </c>
      <c r="R113" s="32" t="e">
        <f t="shared" ref="R113:R116" ca="1" si="384">MAX(0,+Q113-MAX($B$9*$C113,T113))</f>
        <v>#VALUE!</v>
      </c>
      <c r="S113" s="32" t="e">
        <f ca="1">+AQ113+RealEstate!H102</f>
        <v>#VALUE!</v>
      </c>
      <c r="T113" s="32">
        <f ca="1">+RealEstate!I102</f>
        <v>0</v>
      </c>
      <c r="U113" s="32" t="e">
        <f t="shared" ref="U113:U116" ca="1" si="385">+MAX($B$9*$C113,MIN(T113,$B$10*$C113)+S113)</f>
        <v>#VALUE!</v>
      </c>
      <c r="V113" s="32" t="e">
        <f t="shared" ca="1" si="284"/>
        <v>#VALUE!</v>
      </c>
      <c r="W113" s="32">
        <f t="shared" ca="1" si="262"/>
        <v>0</v>
      </c>
      <c r="Z113" s="26"/>
      <c r="AA113" s="90" t="e">
        <f t="shared" ca="1" si="305"/>
        <v>#VALUE!</v>
      </c>
      <c r="AB113" s="26"/>
      <c r="AC113" s="2" t="e">
        <f t="shared" ref="AC113:AC116" ca="1" si="386">+SUM(AD113:AL113)</f>
        <v>#VALUE!</v>
      </c>
      <c r="AD113" s="2" t="e">
        <f t="shared" ref="AD113:AL113" ca="1" si="387">MAX(0,MIN($V113,AD$11*$C113)-AC$11*$C113)*AC$10</f>
        <v>#VALUE!</v>
      </c>
      <c r="AE113" s="2" t="e">
        <f t="shared" ca="1" si="387"/>
        <v>#VALUE!</v>
      </c>
      <c r="AF113" s="2" t="e">
        <f t="shared" ca="1" si="387"/>
        <v>#VALUE!</v>
      </c>
      <c r="AG113" s="2" t="e">
        <f t="shared" ca="1" si="387"/>
        <v>#VALUE!</v>
      </c>
      <c r="AH113" s="2" t="e">
        <f t="shared" ca="1" si="387"/>
        <v>#VALUE!</v>
      </c>
      <c r="AI113" s="2" t="e">
        <f t="shared" ca="1" si="387"/>
        <v>#VALUE!</v>
      </c>
      <c r="AJ113" s="2" t="e">
        <f t="shared" ca="1" si="387"/>
        <v>#VALUE!</v>
      </c>
      <c r="AK113" s="2" t="e">
        <f t="shared" ca="1" si="387"/>
        <v>#VALUE!</v>
      </c>
      <c r="AL113" s="2" t="e">
        <f t="shared" ca="1" si="387"/>
        <v>#VALUE!</v>
      </c>
      <c r="AM113" s="25"/>
      <c r="AN113" s="2" t="e">
        <f t="shared" ca="1" si="265"/>
        <v>#VALUE!</v>
      </c>
      <c r="AO113" s="2" t="e">
        <f t="shared" ca="1" si="266"/>
        <v>#VALUE!</v>
      </c>
      <c r="AP113" s="25"/>
      <c r="AQ113" s="2" t="e">
        <f t="shared" ref="AQ113:AQ116" ca="1" si="388">+SUM(AR113:AZ113)</f>
        <v>#VALUE!</v>
      </c>
      <c r="AR113" s="2" t="e">
        <f t="shared" ref="AR113:AZ113" ca="1" si="389">MAX(0,MIN($R113,AR$11*$C113)-AQ$11*$C113)*AQ$10</f>
        <v>#VALUE!</v>
      </c>
      <c r="AS113" s="2" t="e">
        <f t="shared" ca="1" si="389"/>
        <v>#VALUE!</v>
      </c>
      <c r="AT113" s="2" t="e">
        <f t="shared" ca="1" si="389"/>
        <v>#VALUE!</v>
      </c>
      <c r="AU113" s="2" t="e">
        <f t="shared" ca="1" si="389"/>
        <v>#VALUE!</v>
      </c>
      <c r="AV113" s="2" t="e">
        <f t="shared" ca="1" si="389"/>
        <v>#VALUE!</v>
      </c>
      <c r="AW113" s="2" t="e">
        <f t="shared" ca="1" si="389"/>
        <v>#VALUE!</v>
      </c>
      <c r="AX113" s="2" t="e">
        <f t="shared" ca="1" si="389"/>
        <v>#VALUE!</v>
      </c>
      <c r="AY113" s="2" t="e">
        <f t="shared" ca="1" si="389"/>
        <v>#VALUE!</v>
      </c>
      <c r="AZ113" s="2" t="e">
        <f t="shared" ca="1" si="389"/>
        <v>#VALUE!</v>
      </c>
      <c r="BA113" s="25"/>
      <c r="BB113" s="2">
        <f t="shared" ref="BB113:BB116" ca="1" si="390">+SUM(BC113:BK113)</f>
        <v>0</v>
      </c>
      <c r="BC113" s="2">
        <f t="shared" ref="BC113:BK113" ca="1" si="391">MAX(0,MIN($W113,BC$11*$C113)-BB$11*$C113)*BB$10</f>
        <v>0</v>
      </c>
      <c r="BD113" s="2">
        <f t="shared" ca="1" si="391"/>
        <v>0</v>
      </c>
      <c r="BE113" s="2">
        <f t="shared" ca="1" si="391"/>
        <v>0</v>
      </c>
      <c r="BF113" s="2">
        <f t="shared" ca="1" si="391"/>
        <v>0</v>
      </c>
      <c r="BG113" s="2">
        <f t="shared" ca="1" si="391"/>
        <v>0</v>
      </c>
      <c r="BH113" s="2">
        <f t="shared" ca="1" si="391"/>
        <v>0</v>
      </c>
      <c r="BI113" s="2">
        <f t="shared" ca="1" si="391"/>
        <v>0</v>
      </c>
      <c r="BJ113" s="2">
        <f t="shared" ca="1" si="391"/>
        <v>0</v>
      </c>
      <c r="BK113" s="2">
        <f t="shared" ca="1" si="391"/>
        <v>0</v>
      </c>
      <c r="BL113" s="25"/>
      <c r="BM113" s="145" t="e">
        <f t="shared" ca="1" si="271"/>
        <v>#VALUE!</v>
      </c>
      <c r="BN113" s="145" t="e">
        <f t="shared" ref="BN113:BN116" ca="1" si="392">MAX(0,+BM113-MAX($B$9*$C113,T113))</f>
        <v>#VALUE!</v>
      </c>
      <c r="BO113" s="145" t="e">
        <f t="shared" ca="1" si="273"/>
        <v>#VALUE!</v>
      </c>
      <c r="BP113" s="145" t="e">
        <f t="shared" ref="BP113:BP116" ca="1" si="393">IF(G113=0,0,MAX(0,G113-BO113*(G113/(G113+H113+J113))))</f>
        <v>#VALUE!</v>
      </c>
      <c r="BQ113" s="145">
        <f t="shared" ca="1" si="275"/>
        <v>0</v>
      </c>
      <c r="BR113" s="145" t="e">
        <f t="shared" ca="1" si="288"/>
        <v>#VALUE!</v>
      </c>
      <c r="BS113" s="145" t="e">
        <f t="shared" ca="1" si="276"/>
        <v>#VALUE!</v>
      </c>
      <c r="BT113" s="145" t="e">
        <f t="shared" ca="1" si="277"/>
        <v>#VALUE!</v>
      </c>
      <c r="BU113" s="145" t="e">
        <f t="shared" ca="1" si="278"/>
        <v>#VALUE!</v>
      </c>
      <c r="BV113" s="145" t="e">
        <f t="shared" ca="1" si="279"/>
        <v>#VALUE!</v>
      </c>
      <c r="BW113" s="146" t="e">
        <f t="shared" ca="1" si="280"/>
        <v>#VALUE!</v>
      </c>
      <c r="BX113" s="146" t="e">
        <f t="shared" ca="1" si="281"/>
        <v>#VALUE!</v>
      </c>
      <c r="BY113" s="146" t="e">
        <f t="shared" ca="1" si="282"/>
        <v>#VALUE!</v>
      </c>
    </row>
    <row r="114" spans="1:77" x14ac:dyDescent="0.25">
      <c r="A114" s="14">
        <f t="shared" ref="A114:B116" si="394">+A113+1</f>
        <v>98</v>
      </c>
      <c r="B114" s="14">
        <f t="shared" si="394"/>
        <v>138</v>
      </c>
      <c r="C114" s="38">
        <f t="shared" si="253"/>
        <v>6.963327679981095</v>
      </c>
      <c r="D114" s="26"/>
      <c r="E114" s="74">
        <f>+SUMIFS(Income!D108:K108,Income!D$5:K$5,FALSE)</f>
        <v>174083.19199952736</v>
      </c>
      <c r="F114" s="74" t="str">
        <f ca="1">+Investments!P109</f>
        <v>EXPIRED</v>
      </c>
      <c r="G114" s="74" t="e">
        <f t="shared" ca="1" si="382"/>
        <v>#VALUE!</v>
      </c>
      <c r="H114" s="5">
        <f>+SUMIFS(Income!D108:K108,Income!D$5:K$5,TRUE)</f>
        <v>0</v>
      </c>
      <c r="I114" s="5" t="str">
        <f ca="1">+Investments!Q109</f>
        <v>EXPIRED</v>
      </c>
      <c r="J114" s="5">
        <f ca="1">+RealEstate!G103</f>
        <v>0</v>
      </c>
      <c r="K114" s="5">
        <f t="shared" ca="1" si="383"/>
        <v>0</v>
      </c>
      <c r="L114" s="5">
        <f t="shared" ca="1" si="259"/>
        <v>0</v>
      </c>
      <c r="M114" s="26"/>
      <c r="N114" s="77" t="str">
        <f ca="1">+Investments!N109</f>
        <v>EXPIRED</v>
      </c>
      <c r="O114" s="77">
        <f t="shared" ca="1" si="191"/>
        <v>0</v>
      </c>
      <c r="P114" s="25"/>
      <c r="Q114" s="32" t="e">
        <f t="shared" ca="1" si="289"/>
        <v>#VALUE!</v>
      </c>
      <c r="R114" s="32" t="e">
        <f t="shared" ca="1" si="384"/>
        <v>#VALUE!</v>
      </c>
      <c r="S114" s="32" t="e">
        <f ca="1">+AQ114+RealEstate!H103</f>
        <v>#VALUE!</v>
      </c>
      <c r="T114" s="32">
        <f ca="1">+RealEstate!I103</f>
        <v>0</v>
      </c>
      <c r="U114" s="32" t="e">
        <f t="shared" ca="1" si="385"/>
        <v>#VALUE!</v>
      </c>
      <c r="V114" s="32" t="e">
        <f t="shared" ca="1" si="284"/>
        <v>#VALUE!</v>
      </c>
      <c r="W114" s="32">
        <f t="shared" ca="1" si="262"/>
        <v>0</v>
      </c>
      <c r="Z114" s="26"/>
      <c r="AA114" s="90" t="e">
        <f t="shared" ca="1" si="305"/>
        <v>#VALUE!</v>
      </c>
      <c r="AB114" s="26"/>
      <c r="AC114" s="2" t="e">
        <f t="shared" ca="1" si="386"/>
        <v>#VALUE!</v>
      </c>
      <c r="AD114" s="2" t="e">
        <f t="shared" ref="AD114:AL114" ca="1" si="395">MAX(0,MIN($V114,AD$11*$C114)-AC$11*$C114)*AC$10</f>
        <v>#VALUE!</v>
      </c>
      <c r="AE114" s="2" t="e">
        <f t="shared" ca="1" si="395"/>
        <v>#VALUE!</v>
      </c>
      <c r="AF114" s="2" t="e">
        <f t="shared" ca="1" si="395"/>
        <v>#VALUE!</v>
      </c>
      <c r="AG114" s="2" t="e">
        <f t="shared" ca="1" si="395"/>
        <v>#VALUE!</v>
      </c>
      <c r="AH114" s="2" t="e">
        <f t="shared" ca="1" si="395"/>
        <v>#VALUE!</v>
      </c>
      <c r="AI114" s="2" t="e">
        <f t="shared" ca="1" si="395"/>
        <v>#VALUE!</v>
      </c>
      <c r="AJ114" s="2" t="e">
        <f t="shared" ca="1" si="395"/>
        <v>#VALUE!</v>
      </c>
      <c r="AK114" s="2" t="e">
        <f t="shared" ca="1" si="395"/>
        <v>#VALUE!</v>
      </c>
      <c r="AL114" s="2" t="e">
        <f t="shared" ca="1" si="395"/>
        <v>#VALUE!</v>
      </c>
      <c r="AM114" s="25"/>
      <c r="AN114" s="2" t="e">
        <f t="shared" ca="1" si="265"/>
        <v>#VALUE!</v>
      </c>
      <c r="AO114" s="2" t="e">
        <f t="shared" ca="1" si="266"/>
        <v>#VALUE!</v>
      </c>
      <c r="AP114" s="25"/>
      <c r="AQ114" s="2" t="e">
        <f t="shared" ca="1" si="388"/>
        <v>#VALUE!</v>
      </c>
      <c r="AR114" s="2" t="e">
        <f t="shared" ref="AR114:AZ114" ca="1" si="396">MAX(0,MIN($R114,AR$11*$C114)-AQ$11*$C114)*AQ$10</f>
        <v>#VALUE!</v>
      </c>
      <c r="AS114" s="2" t="e">
        <f t="shared" ca="1" si="396"/>
        <v>#VALUE!</v>
      </c>
      <c r="AT114" s="2" t="e">
        <f t="shared" ca="1" si="396"/>
        <v>#VALUE!</v>
      </c>
      <c r="AU114" s="2" t="e">
        <f t="shared" ca="1" si="396"/>
        <v>#VALUE!</v>
      </c>
      <c r="AV114" s="2" t="e">
        <f t="shared" ca="1" si="396"/>
        <v>#VALUE!</v>
      </c>
      <c r="AW114" s="2" t="e">
        <f t="shared" ca="1" si="396"/>
        <v>#VALUE!</v>
      </c>
      <c r="AX114" s="2" t="e">
        <f t="shared" ca="1" si="396"/>
        <v>#VALUE!</v>
      </c>
      <c r="AY114" s="2" t="e">
        <f t="shared" ca="1" si="396"/>
        <v>#VALUE!</v>
      </c>
      <c r="AZ114" s="2" t="e">
        <f t="shared" ca="1" si="396"/>
        <v>#VALUE!</v>
      </c>
      <c r="BA114" s="25"/>
      <c r="BB114" s="2">
        <f t="shared" ca="1" si="390"/>
        <v>0</v>
      </c>
      <c r="BC114" s="2">
        <f t="shared" ref="BC114:BK114" ca="1" si="397">MAX(0,MIN($W114,BC$11*$C114)-BB$11*$C114)*BB$10</f>
        <v>0</v>
      </c>
      <c r="BD114" s="2">
        <f t="shared" ca="1" si="397"/>
        <v>0</v>
      </c>
      <c r="BE114" s="2">
        <f t="shared" ca="1" si="397"/>
        <v>0</v>
      </c>
      <c r="BF114" s="2">
        <f t="shared" ca="1" si="397"/>
        <v>0</v>
      </c>
      <c r="BG114" s="2">
        <f t="shared" ca="1" si="397"/>
        <v>0</v>
      </c>
      <c r="BH114" s="2">
        <f t="shared" ca="1" si="397"/>
        <v>0</v>
      </c>
      <c r="BI114" s="2">
        <f t="shared" ca="1" si="397"/>
        <v>0</v>
      </c>
      <c r="BJ114" s="2">
        <f t="shared" ca="1" si="397"/>
        <v>0</v>
      </c>
      <c r="BK114" s="2">
        <f t="shared" ca="1" si="397"/>
        <v>0</v>
      </c>
      <c r="BL114" s="25"/>
      <c r="BM114" s="145" t="e">
        <f t="shared" ca="1" si="271"/>
        <v>#VALUE!</v>
      </c>
      <c r="BN114" s="145" t="e">
        <f t="shared" ca="1" si="392"/>
        <v>#VALUE!</v>
      </c>
      <c r="BO114" s="145" t="e">
        <f t="shared" ca="1" si="273"/>
        <v>#VALUE!</v>
      </c>
      <c r="BP114" s="145" t="e">
        <f t="shared" ca="1" si="393"/>
        <v>#VALUE!</v>
      </c>
      <c r="BQ114" s="145">
        <f t="shared" ca="1" si="275"/>
        <v>0</v>
      </c>
      <c r="BR114" s="145" t="e">
        <f t="shared" ca="1" si="288"/>
        <v>#VALUE!</v>
      </c>
      <c r="BS114" s="145" t="e">
        <f t="shared" ca="1" si="276"/>
        <v>#VALUE!</v>
      </c>
      <c r="BT114" s="145" t="e">
        <f t="shared" ca="1" si="277"/>
        <v>#VALUE!</v>
      </c>
      <c r="BU114" s="145" t="e">
        <f t="shared" ca="1" si="278"/>
        <v>#VALUE!</v>
      </c>
      <c r="BV114" s="145" t="e">
        <f t="shared" ca="1" si="279"/>
        <v>#VALUE!</v>
      </c>
      <c r="BW114" s="146" t="e">
        <f t="shared" ca="1" si="280"/>
        <v>#VALUE!</v>
      </c>
      <c r="BX114" s="146" t="e">
        <f t="shared" ca="1" si="281"/>
        <v>#VALUE!</v>
      </c>
      <c r="BY114" s="146" t="e">
        <f t="shared" ca="1" si="282"/>
        <v>#VALUE!</v>
      </c>
    </row>
    <row r="115" spans="1:77" x14ac:dyDescent="0.25">
      <c r="A115" s="14">
        <f t="shared" si="394"/>
        <v>99</v>
      </c>
      <c r="B115" s="14">
        <f t="shared" si="394"/>
        <v>139</v>
      </c>
      <c r="C115" s="38">
        <f t="shared" si="253"/>
        <v>7.1025942335807173</v>
      </c>
      <c r="D115" s="26"/>
      <c r="E115" s="74">
        <f>+SUMIFS(Income!D109:K109,Income!D$5:K$5,FALSE)</f>
        <v>177564.85583951793</v>
      </c>
      <c r="F115" s="74" t="str">
        <f ca="1">+Investments!P110</f>
        <v>EXPIRED</v>
      </c>
      <c r="G115" s="74" t="e">
        <f t="shared" ca="1" si="382"/>
        <v>#VALUE!</v>
      </c>
      <c r="H115" s="5">
        <f>+SUMIFS(Income!D109:K109,Income!D$5:K$5,TRUE)</f>
        <v>0</v>
      </c>
      <c r="I115" s="5" t="str">
        <f ca="1">+Investments!Q110</f>
        <v>EXPIRED</v>
      </c>
      <c r="J115" s="5">
        <f ca="1">+RealEstate!G104</f>
        <v>0</v>
      </c>
      <c r="K115" s="5">
        <f t="shared" ca="1" si="383"/>
        <v>0</v>
      </c>
      <c r="L115" s="5">
        <f t="shared" ca="1" si="259"/>
        <v>0</v>
      </c>
      <c r="M115" s="26"/>
      <c r="N115" s="77" t="str">
        <f ca="1">+Investments!N110</f>
        <v>EXPIRED</v>
      </c>
      <c r="O115" s="77">
        <f t="shared" ca="1" si="191"/>
        <v>0</v>
      </c>
      <c r="P115" s="25"/>
      <c r="Q115" s="32" t="e">
        <f t="shared" ca="1" si="289"/>
        <v>#VALUE!</v>
      </c>
      <c r="R115" s="32" t="e">
        <f t="shared" ca="1" si="384"/>
        <v>#VALUE!</v>
      </c>
      <c r="S115" s="32" t="e">
        <f ca="1">+AQ115+RealEstate!H104</f>
        <v>#VALUE!</v>
      </c>
      <c r="T115" s="32">
        <f ca="1">+RealEstate!I104</f>
        <v>0</v>
      </c>
      <c r="U115" s="32" t="e">
        <f t="shared" ca="1" si="385"/>
        <v>#VALUE!</v>
      </c>
      <c r="V115" s="32" t="e">
        <f t="shared" ca="1" si="284"/>
        <v>#VALUE!</v>
      </c>
      <c r="W115" s="32">
        <f t="shared" ca="1" si="262"/>
        <v>0</v>
      </c>
      <c r="Z115" s="26"/>
      <c r="AA115" s="90" t="e">
        <f t="shared" ca="1" si="305"/>
        <v>#VALUE!</v>
      </c>
      <c r="AB115" s="26"/>
      <c r="AC115" s="2" t="e">
        <f t="shared" ca="1" si="386"/>
        <v>#VALUE!</v>
      </c>
      <c r="AD115" s="2" t="e">
        <f t="shared" ref="AD115:AL115" ca="1" si="398">MAX(0,MIN($V115,AD$11*$C115)-AC$11*$C115)*AC$10</f>
        <v>#VALUE!</v>
      </c>
      <c r="AE115" s="2" t="e">
        <f t="shared" ca="1" si="398"/>
        <v>#VALUE!</v>
      </c>
      <c r="AF115" s="2" t="e">
        <f t="shared" ca="1" si="398"/>
        <v>#VALUE!</v>
      </c>
      <c r="AG115" s="2" t="e">
        <f t="shared" ca="1" si="398"/>
        <v>#VALUE!</v>
      </c>
      <c r="AH115" s="2" t="e">
        <f t="shared" ca="1" si="398"/>
        <v>#VALUE!</v>
      </c>
      <c r="AI115" s="2" t="e">
        <f t="shared" ca="1" si="398"/>
        <v>#VALUE!</v>
      </c>
      <c r="AJ115" s="2" t="e">
        <f t="shared" ca="1" si="398"/>
        <v>#VALUE!</v>
      </c>
      <c r="AK115" s="2" t="e">
        <f t="shared" ca="1" si="398"/>
        <v>#VALUE!</v>
      </c>
      <c r="AL115" s="2" t="e">
        <f t="shared" ca="1" si="398"/>
        <v>#VALUE!</v>
      </c>
      <c r="AM115" s="25"/>
      <c r="AN115" s="2" t="e">
        <f t="shared" ca="1" si="265"/>
        <v>#VALUE!</v>
      </c>
      <c r="AO115" s="2" t="e">
        <f t="shared" ca="1" si="266"/>
        <v>#VALUE!</v>
      </c>
      <c r="AP115" s="25"/>
      <c r="AQ115" s="2" t="e">
        <f t="shared" ca="1" si="388"/>
        <v>#VALUE!</v>
      </c>
      <c r="AR115" s="2" t="e">
        <f t="shared" ref="AR115:AZ115" ca="1" si="399">MAX(0,MIN($R115,AR$11*$C115)-AQ$11*$C115)*AQ$10</f>
        <v>#VALUE!</v>
      </c>
      <c r="AS115" s="2" t="e">
        <f t="shared" ca="1" si="399"/>
        <v>#VALUE!</v>
      </c>
      <c r="AT115" s="2" t="e">
        <f t="shared" ca="1" si="399"/>
        <v>#VALUE!</v>
      </c>
      <c r="AU115" s="2" t="e">
        <f t="shared" ca="1" si="399"/>
        <v>#VALUE!</v>
      </c>
      <c r="AV115" s="2" t="e">
        <f t="shared" ca="1" si="399"/>
        <v>#VALUE!</v>
      </c>
      <c r="AW115" s="2" t="e">
        <f t="shared" ca="1" si="399"/>
        <v>#VALUE!</v>
      </c>
      <c r="AX115" s="2" t="e">
        <f t="shared" ca="1" si="399"/>
        <v>#VALUE!</v>
      </c>
      <c r="AY115" s="2" t="e">
        <f t="shared" ca="1" si="399"/>
        <v>#VALUE!</v>
      </c>
      <c r="AZ115" s="2" t="e">
        <f t="shared" ca="1" si="399"/>
        <v>#VALUE!</v>
      </c>
      <c r="BA115" s="25"/>
      <c r="BB115" s="2">
        <f t="shared" ca="1" si="390"/>
        <v>0</v>
      </c>
      <c r="BC115" s="2">
        <f t="shared" ref="BC115:BK115" ca="1" si="400">MAX(0,MIN($W115,BC$11*$C115)-BB$11*$C115)*BB$10</f>
        <v>0</v>
      </c>
      <c r="BD115" s="2">
        <f t="shared" ca="1" si="400"/>
        <v>0</v>
      </c>
      <c r="BE115" s="2">
        <f t="shared" ca="1" si="400"/>
        <v>0</v>
      </c>
      <c r="BF115" s="2">
        <f t="shared" ca="1" si="400"/>
        <v>0</v>
      </c>
      <c r="BG115" s="2">
        <f t="shared" ca="1" si="400"/>
        <v>0</v>
      </c>
      <c r="BH115" s="2">
        <f t="shared" ca="1" si="400"/>
        <v>0</v>
      </c>
      <c r="BI115" s="2">
        <f t="shared" ca="1" si="400"/>
        <v>0</v>
      </c>
      <c r="BJ115" s="2">
        <f t="shared" ca="1" si="400"/>
        <v>0</v>
      </c>
      <c r="BK115" s="2">
        <f t="shared" ca="1" si="400"/>
        <v>0</v>
      </c>
      <c r="BL115" s="25"/>
      <c r="BM115" s="145" t="e">
        <f t="shared" ca="1" si="271"/>
        <v>#VALUE!</v>
      </c>
      <c r="BN115" s="145" t="e">
        <f t="shared" ca="1" si="392"/>
        <v>#VALUE!</v>
      </c>
      <c r="BO115" s="145" t="e">
        <f t="shared" ca="1" si="273"/>
        <v>#VALUE!</v>
      </c>
      <c r="BP115" s="145" t="e">
        <f t="shared" ca="1" si="393"/>
        <v>#VALUE!</v>
      </c>
      <c r="BQ115" s="145">
        <f t="shared" ca="1" si="275"/>
        <v>0</v>
      </c>
      <c r="BR115" s="145" t="e">
        <f t="shared" ca="1" si="288"/>
        <v>#VALUE!</v>
      </c>
      <c r="BS115" s="145" t="e">
        <f t="shared" ca="1" si="276"/>
        <v>#VALUE!</v>
      </c>
      <c r="BT115" s="145" t="e">
        <f t="shared" ca="1" si="277"/>
        <v>#VALUE!</v>
      </c>
      <c r="BU115" s="145" t="e">
        <f t="shared" ca="1" si="278"/>
        <v>#VALUE!</v>
      </c>
      <c r="BV115" s="145" t="e">
        <f t="shared" ca="1" si="279"/>
        <v>#VALUE!</v>
      </c>
      <c r="BW115" s="146" t="e">
        <f t="shared" ca="1" si="280"/>
        <v>#VALUE!</v>
      </c>
      <c r="BX115" s="146" t="e">
        <f t="shared" ca="1" si="281"/>
        <v>#VALUE!</v>
      </c>
      <c r="BY115" s="146" t="e">
        <f t="shared" ca="1" si="282"/>
        <v>#VALUE!</v>
      </c>
    </row>
    <row r="116" spans="1:77" x14ac:dyDescent="0.25">
      <c r="A116" s="15">
        <f t="shared" si="394"/>
        <v>100</v>
      </c>
      <c r="B116" s="15">
        <f t="shared" si="394"/>
        <v>140</v>
      </c>
      <c r="C116" s="38">
        <f t="shared" si="253"/>
        <v>7.244646118252331</v>
      </c>
      <c r="D116" s="26"/>
      <c r="E116" s="74">
        <f>+SUMIFS(Income!D110:K110,Income!D$5:K$5,FALSE)</f>
        <v>181116.15295630827</v>
      </c>
      <c r="F116" s="74" t="str">
        <f ca="1">+Investments!P111</f>
        <v>EXPIRED</v>
      </c>
      <c r="G116" s="74" t="e">
        <f t="shared" ca="1" si="382"/>
        <v>#VALUE!</v>
      </c>
      <c r="H116" s="5">
        <f>+SUMIFS(Income!D110:K110,Income!D$5:K$5,TRUE)</f>
        <v>0</v>
      </c>
      <c r="I116" s="5" t="str">
        <f ca="1">+Investments!Q111</f>
        <v>EXPIRED</v>
      </c>
      <c r="J116" s="5">
        <f ca="1">+RealEstate!G105</f>
        <v>0</v>
      </c>
      <c r="K116" s="5">
        <f t="shared" ca="1" si="383"/>
        <v>0</v>
      </c>
      <c r="L116" s="5">
        <f t="shared" ca="1" si="259"/>
        <v>0</v>
      </c>
      <c r="M116" s="26"/>
      <c r="N116" s="77" t="str">
        <f ca="1">+Investments!N111</f>
        <v>EXPIRED</v>
      </c>
      <c r="O116" s="77">
        <f t="shared" ca="1" si="191"/>
        <v>0</v>
      </c>
      <c r="P116" s="25"/>
      <c r="Q116" s="32" t="e">
        <f t="shared" ca="1" si="289"/>
        <v>#VALUE!</v>
      </c>
      <c r="R116" s="32" t="e">
        <f t="shared" ca="1" si="384"/>
        <v>#VALUE!</v>
      </c>
      <c r="S116" s="32" t="e">
        <f ca="1">+AQ116+RealEstate!H105</f>
        <v>#VALUE!</v>
      </c>
      <c r="T116" s="32">
        <f ca="1">+RealEstate!I105</f>
        <v>0</v>
      </c>
      <c r="U116" s="32" t="e">
        <f t="shared" ca="1" si="385"/>
        <v>#VALUE!</v>
      </c>
      <c r="V116" s="32" t="e">
        <f t="shared" ca="1" si="284"/>
        <v>#VALUE!</v>
      </c>
      <c r="W116" s="32">
        <f t="shared" ca="1" si="262"/>
        <v>0</v>
      </c>
      <c r="Z116" s="26"/>
      <c r="AA116" s="90" t="e">
        <f t="shared" ca="1" si="305"/>
        <v>#VALUE!</v>
      </c>
      <c r="AB116" s="26"/>
      <c r="AC116" s="2" t="e">
        <f t="shared" ca="1" si="386"/>
        <v>#VALUE!</v>
      </c>
      <c r="AD116" s="2" t="e">
        <f t="shared" ref="AD116:AL116" ca="1" si="401">MAX(0,MIN($V116,AD$11*$C116)-AC$11*$C116)*AC$10</f>
        <v>#VALUE!</v>
      </c>
      <c r="AE116" s="2" t="e">
        <f t="shared" ca="1" si="401"/>
        <v>#VALUE!</v>
      </c>
      <c r="AF116" s="2" t="e">
        <f t="shared" ca="1" si="401"/>
        <v>#VALUE!</v>
      </c>
      <c r="AG116" s="2" t="e">
        <f t="shared" ca="1" si="401"/>
        <v>#VALUE!</v>
      </c>
      <c r="AH116" s="2" t="e">
        <f t="shared" ca="1" si="401"/>
        <v>#VALUE!</v>
      </c>
      <c r="AI116" s="2" t="e">
        <f t="shared" ca="1" si="401"/>
        <v>#VALUE!</v>
      </c>
      <c r="AJ116" s="2" t="e">
        <f t="shared" ca="1" si="401"/>
        <v>#VALUE!</v>
      </c>
      <c r="AK116" s="2" t="e">
        <f t="shared" ca="1" si="401"/>
        <v>#VALUE!</v>
      </c>
      <c r="AL116" s="2" t="e">
        <f t="shared" ca="1" si="401"/>
        <v>#VALUE!</v>
      </c>
      <c r="AM116" s="25"/>
      <c r="AN116" s="2" t="e">
        <f t="shared" ca="1" si="265"/>
        <v>#VALUE!</v>
      </c>
      <c r="AO116" s="2" t="e">
        <f t="shared" ca="1" si="266"/>
        <v>#VALUE!</v>
      </c>
      <c r="AP116" s="25"/>
      <c r="AQ116" s="2" t="e">
        <f t="shared" ca="1" si="388"/>
        <v>#VALUE!</v>
      </c>
      <c r="AR116" s="2" t="e">
        <f t="shared" ref="AR116:AZ116" ca="1" si="402">MAX(0,MIN($R116,AR$11*$C116)-AQ$11*$C116)*AQ$10</f>
        <v>#VALUE!</v>
      </c>
      <c r="AS116" s="2" t="e">
        <f t="shared" ca="1" si="402"/>
        <v>#VALUE!</v>
      </c>
      <c r="AT116" s="2" t="e">
        <f t="shared" ca="1" si="402"/>
        <v>#VALUE!</v>
      </c>
      <c r="AU116" s="2" t="e">
        <f t="shared" ca="1" si="402"/>
        <v>#VALUE!</v>
      </c>
      <c r="AV116" s="2" t="e">
        <f t="shared" ca="1" si="402"/>
        <v>#VALUE!</v>
      </c>
      <c r="AW116" s="2" t="e">
        <f t="shared" ca="1" si="402"/>
        <v>#VALUE!</v>
      </c>
      <c r="AX116" s="2" t="e">
        <f t="shared" ca="1" si="402"/>
        <v>#VALUE!</v>
      </c>
      <c r="AY116" s="2" t="e">
        <f t="shared" ca="1" si="402"/>
        <v>#VALUE!</v>
      </c>
      <c r="AZ116" s="2" t="e">
        <f t="shared" ca="1" si="402"/>
        <v>#VALUE!</v>
      </c>
      <c r="BA116" s="25"/>
      <c r="BB116" s="2">
        <f t="shared" ca="1" si="390"/>
        <v>0</v>
      </c>
      <c r="BC116" s="2">
        <f t="shared" ref="BC116:BK116" ca="1" si="403">MAX(0,MIN($W116,BC$11*$C116)-BB$11*$C116)*BB$10</f>
        <v>0</v>
      </c>
      <c r="BD116" s="2">
        <f t="shared" ca="1" si="403"/>
        <v>0</v>
      </c>
      <c r="BE116" s="2">
        <f t="shared" ca="1" si="403"/>
        <v>0</v>
      </c>
      <c r="BF116" s="2">
        <f t="shared" ca="1" si="403"/>
        <v>0</v>
      </c>
      <c r="BG116" s="2">
        <f t="shared" ca="1" si="403"/>
        <v>0</v>
      </c>
      <c r="BH116" s="2">
        <f t="shared" ca="1" si="403"/>
        <v>0</v>
      </c>
      <c r="BI116" s="2">
        <f t="shared" ca="1" si="403"/>
        <v>0</v>
      </c>
      <c r="BJ116" s="2">
        <f t="shared" ca="1" si="403"/>
        <v>0</v>
      </c>
      <c r="BK116" s="2">
        <f t="shared" ca="1" si="403"/>
        <v>0</v>
      </c>
      <c r="BL116" s="25"/>
      <c r="BM116" s="145" t="e">
        <f t="shared" ca="1" si="271"/>
        <v>#VALUE!</v>
      </c>
      <c r="BN116" s="145" t="e">
        <f t="shared" ca="1" si="392"/>
        <v>#VALUE!</v>
      </c>
      <c r="BO116" s="145" t="e">
        <f t="shared" ca="1" si="273"/>
        <v>#VALUE!</v>
      </c>
      <c r="BP116" s="145" t="e">
        <f t="shared" ca="1" si="393"/>
        <v>#VALUE!</v>
      </c>
      <c r="BQ116" s="145">
        <f t="shared" ca="1" si="275"/>
        <v>0</v>
      </c>
      <c r="BR116" s="145" t="e">
        <f t="shared" ca="1" si="288"/>
        <v>#VALUE!</v>
      </c>
      <c r="BS116" s="145" t="e">
        <f t="shared" ca="1" si="276"/>
        <v>#VALUE!</v>
      </c>
      <c r="BT116" s="145" t="e">
        <f t="shared" ca="1" si="277"/>
        <v>#VALUE!</v>
      </c>
      <c r="BU116" s="145" t="e">
        <f t="shared" ca="1" si="278"/>
        <v>#VALUE!</v>
      </c>
      <c r="BV116" s="145" t="e">
        <f t="shared" ca="1" si="279"/>
        <v>#VALUE!</v>
      </c>
      <c r="BW116" s="146" t="e">
        <f t="shared" ca="1" si="280"/>
        <v>#VALUE!</v>
      </c>
      <c r="BX116" s="146" t="e">
        <f t="shared" ca="1" si="281"/>
        <v>#VALUE!</v>
      </c>
      <c r="BY116" s="146" t="e">
        <f t="shared" ca="1" si="282"/>
        <v>#VALUE!</v>
      </c>
    </row>
    <row r="117" spans="1:77" x14ac:dyDescent="0.25">
      <c r="N117"/>
      <c r="O117"/>
      <c r="S117" s="2"/>
    </row>
    <row r="118" spans="1:77" x14ac:dyDescent="0.25">
      <c r="N118"/>
      <c r="O118"/>
      <c r="S118" s="2"/>
    </row>
    <row r="119" spans="1:77" x14ac:dyDescent="0.25">
      <c r="N119"/>
      <c r="O119"/>
      <c r="S119" s="2"/>
    </row>
    <row r="120" spans="1:77" x14ac:dyDescent="0.25">
      <c r="N120"/>
      <c r="O120"/>
      <c r="S120" s="2"/>
    </row>
    <row r="121" spans="1:77" x14ac:dyDescent="0.25">
      <c r="N121"/>
      <c r="O121"/>
      <c r="S121" s="2"/>
    </row>
    <row r="122" spans="1:77" x14ac:dyDescent="0.25">
      <c r="N122"/>
      <c r="O122"/>
      <c r="S122" s="2"/>
    </row>
    <row r="123" spans="1:77" x14ac:dyDescent="0.25">
      <c r="N123"/>
      <c r="O123"/>
      <c r="S123" s="2"/>
    </row>
    <row r="124" spans="1:77" x14ac:dyDescent="0.25">
      <c r="N124"/>
      <c r="O124"/>
      <c r="S124" s="2"/>
    </row>
    <row r="125" spans="1:77" x14ac:dyDescent="0.25">
      <c r="N125"/>
      <c r="O125"/>
      <c r="S125" s="2"/>
    </row>
    <row r="126" spans="1:77" x14ac:dyDescent="0.25">
      <c r="N126"/>
      <c r="O126"/>
      <c r="S126" s="2"/>
    </row>
    <row r="127" spans="1:77" x14ac:dyDescent="0.25">
      <c r="N127"/>
      <c r="O127"/>
      <c r="S127" s="2"/>
    </row>
    <row r="128" spans="1:77" x14ac:dyDescent="0.25">
      <c r="N128"/>
      <c r="O128"/>
    </row>
    <row r="129" spans="14:15" x14ac:dyDescent="0.25">
      <c r="N129"/>
      <c r="O129"/>
    </row>
    <row r="130" spans="14:15" x14ac:dyDescent="0.25">
      <c r="N130"/>
      <c r="O130"/>
    </row>
    <row r="131" spans="14:15" x14ac:dyDescent="0.25">
      <c r="N131"/>
      <c r="O131"/>
    </row>
    <row r="132" spans="14:15" x14ac:dyDescent="0.25">
      <c r="N132"/>
      <c r="O132"/>
    </row>
    <row r="133" spans="14:15" x14ac:dyDescent="0.25">
      <c r="N133"/>
      <c r="O133"/>
    </row>
    <row r="134" spans="14:15" x14ac:dyDescent="0.25">
      <c r="N134"/>
      <c r="O134"/>
    </row>
    <row r="135" spans="14:15" x14ac:dyDescent="0.25">
      <c r="N135"/>
      <c r="O135"/>
    </row>
    <row r="136" spans="14:15" x14ac:dyDescent="0.25">
      <c r="N136"/>
      <c r="O136"/>
    </row>
    <row r="137" spans="14:15" x14ac:dyDescent="0.25">
      <c r="N137"/>
      <c r="O137"/>
    </row>
    <row r="138" spans="14:15" x14ac:dyDescent="0.25">
      <c r="N138"/>
      <c r="O138"/>
    </row>
    <row r="139" spans="14:15" x14ac:dyDescent="0.25">
      <c r="N139"/>
      <c r="O139"/>
    </row>
    <row r="140" spans="14:15" x14ac:dyDescent="0.25">
      <c r="N140"/>
      <c r="O140"/>
    </row>
    <row r="141" spans="14:15" x14ac:dyDescent="0.25">
      <c r="N141"/>
      <c r="O141"/>
    </row>
    <row r="142" spans="14:15" x14ac:dyDescent="0.25">
      <c r="N142"/>
      <c r="O142"/>
    </row>
    <row r="143" spans="14:15" x14ac:dyDescent="0.25">
      <c r="N143"/>
      <c r="O143"/>
    </row>
    <row r="144" spans="14:15" x14ac:dyDescent="0.25">
      <c r="N144"/>
      <c r="O144"/>
    </row>
    <row r="145" spans="14:15" x14ac:dyDescent="0.25">
      <c r="N145"/>
      <c r="O145"/>
    </row>
    <row r="146" spans="14:15" x14ac:dyDescent="0.25">
      <c r="N146"/>
      <c r="O146"/>
    </row>
    <row r="147" spans="14:15" x14ac:dyDescent="0.25">
      <c r="N147"/>
      <c r="O147"/>
    </row>
    <row r="148" spans="14:15" x14ac:dyDescent="0.25">
      <c r="N148"/>
      <c r="O148"/>
    </row>
    <row r="149" spans="14:15" x14ac:dyDescent="0.25">
      <c r="N149"/>
      <c r="O149"/>
    </row>
    <row r="150" spans="14:15" x14ac:dyDescent="0.25">
      <c r="N150"/>
      <c r="O150"/>
    </row>
    <row r="151" spans="14:15" x14ac:dyDescent="0.25">
      <c r="N151"/>
      <c r="O151"/>
    </row>
    <row r="152" spans="14:15" x14ac:dyDescent="0.25">
      <c r="N152"/>
      <c r="O152"/>
    </row>
    <row r="153" spans="14:15" x14ac:dyDescent="0.25">
      <c r="N153"/>
      <c r="O153"/>
    </row>
    <row r="154" spans="14:15" x14ac:dyDescent="0.25">
      <c r="N154"/>
      <c r="O154"/>
    </row>
    <row r="155" spans="14:15" x14ac:dyDescent="0.25">
      <c r="N155"/>
      <c r="O155"/>
    </row>
    <row r="156" spans="14:15" x14ac:dyDescent="0.25">
      <c r="N156"/>
      <c r="O156"/>
    </row>
    <row r="157" spans="14:15" x14ac:dyDescent="0.25">
      <c r="N157"/>
      <c r="O157"/>
    </row>
    <row r="158" spans="14:15" x14ac:dyDescent="0.25">
      <c r="N158"/>
      <c r="O158"/>
    </row>
    <row r="159" spans="14:15" x14ac:dyDescent="0.25">
      <c r="N159"/>
      <c r="O159"/>
    </row>
  </sheetData>
  <mergeCells count="9">
    <mergeCell ref="BM14:BY14"/>
    <mergeCell ref="Q14:W14"/>
    <mergeCell ref="AQ13:AZ13"/>
    <mergeCell ref="BB13:BK13"/>
    <mergeCell ref="E14:G14"/>
    <mergeCell ref="E13:L13"/>
    <mergeCell ref="H14:L14"/>
    <mergeCell ref="Q13:W13"/>
    <mergeCell ref="AC13:AL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107"/>
  <sheetViews>
    <sheetView workbookViewId="0">
      <pane xSplit="5" ySplit="6" topLeftCell="F7" activePane="bottomRight" state="frozen"/>
      <selection pane="topRight" activeCell="E1" sqref="E1"/>
      <selection pane="bottomLeft" activeCell="A7" sqref="A7"/>
      <selection pane="bottomRight" activeCell="F7" sqref="F7"/>
    </sheetView>
  </sheetViews>
  <sheetFormatPr defaultRowHeight="15" x14ac:dyDescent="0.25"/>
  <cols>
    <col min="2" max="3" width="14.28515625" customWidth="1"/>
    <col min="4" max="4" width="3.140625" customWidth="1"/>
    <col min="5" max="5" width="16.85546875" customWidth="1"/>
    <col min="6" max="10" width="11.42578125" customWidth="1"/>
    <col min="11" max="15" width="13.5703125" bestFit="1" customWidth="1"/>
  </cols>
  <sheetData>
    <row r="1" spans="1:15" s="61" customFormat="1" ht="28.9" x14ac:dyDescent="0.3">
      <c r="A1" s="60" t="s">
        <v>6</v>
      </c>
      <c r="D1" s="62"/>
      <c r="E1" s="64"/>
      <c r="F1" s="64" t="s">
        <v>115</v>
      </c>
      <c r="G1" s="62"/>
      <c r="H1" s="62"/>
      <c r="I1" s="62"/>
      <c r="J1" s="62"/>
      <c r="K1" s="62"/>
      <c r="L1" s="62"/>
      <c r="M1" s="62"/>
      <c r="N1" s="62"/>
      <c r="O1" s="62"/>
    </row>
    <row r="2" spans="1:15" ht="14.45" x14ac:dyDescent="0.3">
      <c r="D2" s="1"/>
      <c r="E2" s="12" t="s">
        <v>120</v>
      </c>
      <c r="F2" s="63">
        <f>+Dashboard!B29</f>
        <v>60000</v>
      </c>
      <c r="G2" s="63">
        <f>+Dashboard!C29</f>
        <v>50000</v>
      </c>
      <c r="H2" s="63">
        <f>+Dashboard!D29</f>
        <v>25000</v>
      </c>
      <c r="I2" s="63">
        <f>+Dashboard!F29</f>
        <v>0</v>
      </c>
      <c r="J2" s="63">
        <f>+Dashboard!E29</f>
        <v>0</v>
      </c>
      <c r="K2" s="63">
        <f>+Dashboard!G29</f>
        <v>0</v>
      </c>
      <c r="L2" s="63">
        <f>+Dashboard!H29</f>
        <v>0</v>
      </c>
      <c r="M2" s="63">
        <f>+Dashboard!I29</f>
        <v>0</v>
      </c>
      <c r="N2" s="63">
        <f>+Dashboard!J29</f>
        <v>0</v>
      </c>
      <c r="O2" s="63">
        <f>+Dashboard!K29</f>
        <v>0</v>
      </c>
    </row>
    <row r="3" spans="1:15" ht="28.9" x14ac:dyDescent="0.3">
      <c r="D3" s="3"/>
      <c r="E3" s="13" t="s">
        <v>121</v>
      </c>
      <c r="F3" s="55">
        <v>0</v>
      </c>
      <c r="G3" s="55">
        <v>0</v>
      </c>
      <c r="H3" s="55">
        <f>+Dashboard!D30</f>
        <v>0</v>
      </c>
      <c r="I3" s="55">
        <f>+Dashboard!F30</f>
        <v>0</v>
      </c>
      <c r="J3" s="55">
        <f>+Dashboard!E30</f>
        <v>0</v>
      </c>
      <c r="K3" s="55">
        <v>0</v>
      </c>
      <c r="L3" s="55">
        <f>+Dashboard!H30</f>
        <v>0</v>
      </c>
      <c r="M3" s="55">
        <f>+Dashboard!I30</f>
        <v>0</v>
      </c>
      <c r="N3" s="55">
        <f>+Dashboard!J30</f>
        <v>0</v>
      </c>
      <c r="O3" s="55">
        <f>+Dashboard!K30</f>
        <v>0</v>
      </c>
    </row>
    <row r="4" spans="1:15" ht="14.45" x14ac:dyDescent="0.3">
      <c r="D4" s="3"/>
      <c r="E4" s="13" t="s">
        <v>33</v>
      </c>
      <c r="F4" s="41">
        <f>+Dashboard!B31</f>
        <v>0</v>
      </c>
      <c r="G4" s="41">
        <f>+Dashboard!C31</f>
        <v>68</v>
      </c>
      <c r="H4" s="41">
        <f>+Dashboard!D31</f>
        <v>50</v>
      </c>
      <c r="I4" s="41">
        <f>+Dashboard!F31</f>
        <v>51</v>
      </c>
      <c r="J4" s="41">
        <f>+Dashboard!E31</f>
        <v>51</v>
      </c>
      <c r="K4" s="41">
        <f>+Dashboard!G31</f>
        <v>51</v>
      </c>
      <c r="L4" s="41">
        <f>+Dashboard!H31</f>
        <v>51</v>
      </c>
      <c r="M4" s="41">
        <f>+Dashboard!I31</f>
        <v>51</v>
      </c>
      <c r="N4" s="41">
        <f>+Dashboard!J31</f>
        <v>51</v>
      </c>
      <c r="O4" s="41">
        <f>+Dashboard!K31</f>
        <v>51</v>
      </c>
    </row>
    <row r="5" spans="1:15" ht="14.45" x14ac:dyDescent="0.3">
      <c r="D5" s="3"/>
      <c r="E5" s="13" t="s">
        <v>32</v>
      </c>
      <c r="F5" s="41">
        <f>+Dashboard!B32</f>
        <v>67</v>
      </c>
      <c r="G5" s="41">
        <f>+Dashboard!C32</f>
        <v>150</v>
      </c>
      <c r="H5" s="41">
        <f>+Dashboard!D32</f>
        <v>53</v>
      </c>
      <c r="I5" s="41">
        <f>+Dashboard!F32</f>
        <v>58</v>
      </c>
      <c r="J5" s="41">
        <f>+Dashboard!E32</f>
        <v>58</v>
      </c>
      <c r="K5" s="41">
        <f>+Dashboard!G32</f>
        <v>58</v>
      </c>
      <c r="L5" s="41">
        <f>+Dashboard!H32</f>
        <v>58</v>
      </c>
      <c r="M5" s="41">
        <f>+Dashboard!I32</f>
        <v>58</v>
      </c>
      <c r="N5" s="41">
        <f>+Dashboard!J32</f>
        <v>58</v>
      </c>
      <c r="O5" s="41">
        <f>+Dashboard!K32</f>
        <v>58</v>
      </c>
    </row>
    <row r="6" spans="1:15" ht="28.9" x14ac:dyDescent="0.3">
      <c r="A6" s="65" t="s">
        <v>5</v>
      </c>
      <c r="B6" s="65" t="s">
        <v>4</v>
      </c>
      <c r="C6" s="65" t="s">
        <v>84</v>
      </c>
      <c r="E6" s="65" t="s">
        <v>36</v>
      </c>
      <c r="F6" s="65" t="str">
        <f>+Dashboard!B28</f>
        <v>Current
Spending</v>
      </c>
      <c r="G6" s="65" t="str">
        <f>+Dashboard!C28</f>
        <v>Retirement
Spending</v>
      </c>
      <c r="H6" s="65" t="str">
        <f>+Dashboard!D28</f>
        <v>Kid #1 College</v>
      </c>
      <c r="I6" s="65" t="str">
        <f>+Dashboard!E28</f>
        <v>-</v>
      </c>
      <c r="J6" s="65" t="str">
        <f>+Dashboard!F28</f>
        <v>-</v>
      </c>
      <c r="K6" s="65" t="str">
        <f>+Dashboard!G28</f>
        <v>-</v>
      </c>
      <c r="L6" s="65" t="str">
        <f>+Dashboard!H28</f>
        <v>-</v>
      </c>
      <c r="M6" s="65" t="str">
        <f>+Dashboard!I28</f>
        <v>-</v>
      </c>
      <c r="N6" s="65" t="str">
        <f>+Dashboard!J28</f>
        <v>-</v>
      </c>
      <c r="O6" s="65" t="str">
        <f>+Dashboard!K28</f>
        <v>-</v>
      </c>
    </row>
    <row r="7" spans="1:15" ht="14.45" x14ac:dyDescent="0.3">
      <c r="A7" s="14">
        <v>0</v>
      </c>
      <c r="B7" s="14">
        <f>+age+A7</f>
        <v>40</v>
      </c>
      <c r="C7" s="38">
        <f t="shared" ref="C7:C38" si="0">+(1+inflation)^A7</f>
        <v>1</v>
      </c>
      <c r="E7" s="17"/>
      <c r="F7" s="17"/>
      <c r="G7" s="17"/>
      <c r="H7" s="17"/>
      <c r="I7" s="17"/>
      <c r="J7" s="17"/>
      <c r="K7" s="17"/>
      <c r="L7" s="17"/>
      <c r="M7" s="17"/>
      <c r="N7" s="17"/>
      <c r="O7" s="17"/>
    </row>
    <row r="8" spans="1:15" ht="14.45" x14ac:dyDescent="0.3">
      <c r="A8" s="14">
        <f>+A7+1</f>
        <v>1</v>
      </c>
      <c r="B8" s="14">
        <f>+B7+1</f>
        <v>41</v>
      </c>
      <c r="C8" s="38">
        <f t="shared" si="0"/>
        <v>1.02</v>
      </c>
      <c r="E8" s="17">
        <f>+SUM(F8:O8)</f>
        <v>61200</v>
      </c>
      <c r="F8" s="17">
        <f t="shared" ref="F8:O17" si="1">IF(OR($B8&gt;F$5,$B8&lt;F$4),0,F$2*(1+inflation+F$3)^$A8)</f>
        <v>61200</v>
      </c>
      <c r="G8" s="17">
        <f t="shared" si="1"/>
        <v>0</v>
      </c>
      <c r="H8" s="17">
        <f t="shared" si="1"/>
        <v>0</v>
      </c>
      <c r="I8" s="17">
        <f t="shared" si="1"/>
        <v>0</v>
      </c>
      <c r="J8" s="17">
        <f t="shared" si="1"/>
        <v>0</v>
      </c>
      <c r="K8" s="17">
        <f t="shared" si="1"/>
        <v>0</v>
      </c>
      <c r="L8" s="17">
        <f t="shared" si="1"/>
        <v>0</v>
      </c>
      <c r="M8" s="17">
        <f t="shared" si="1"/>
        <v>0</v>
      </c>
      <c r="N8" s="17">
        <f t="shared" si="1"/>
        <v>0</v>
      </c>
      <c r="O8" s="17">
        <f t="shared" si="1"/>
        <v>0</v>
      </c>
    </row>
    <row r="9" spans="1:15" ht="14.45" x14ac:dyDescent="0.3">
      <c r="A9" s="14">
        <f t="shared" ref="A9:B24" si="2">+A8+1</f>
        <v>2</v>
      </c>
      <c r="B9" s="39">
        <f t="shared" si="2"/>
        <v>42</v>
      </c>
      <c r="C9" s="38">
        <f t="shared" si="0"/>
        <v>1.0404</v>
      </c>
      <c r="E9" s="17">
        <f>+SUM(F9:O9)</f>
        <v>62424</v>
      </c>
      <c r="F9" s="17">
        <f t="shared" si="1"/>
        <v>62424</v>
      </c>
      <c r="G9" s="17">
        <f t="shared" si="1"/>
        <v>0</v>
      </c>
      <c r="H9" s="17">
        <f t="shared" si="1"/>
        <v>0</v>
      </c>
      <c r="I9" s="17">
        <f t="shared" si="1"/>
        <v>0</v>
      </c>
      <c r="J9" s="17">
        <f t="shared" si="1"/>
        <v>0</v>
      </c>
      <c r="K9" s="17">
        <f t="shared" si="1"/>
        <v>0</v>
      </c>
      <c r="L9" s="17">
        <f t="shared" si="1"/>
        <v>0</v>
      </c>
      <c r="M9" s="17">
        <f t="shared" si="1"/>
        <v>0</v>
      </c>
      <c r="N9" s="17">
        <f t="shared" si="1"/>
        <v>0</v>
      </c>
      <c r="O9" s="17">
        <f t="shared" si="1"/>
        <v>0</v>
      </c>
    </row>
    <row r="10" spans="1:15" ht="14.45" x14ac:dyDescent="0.3">
      <c r="A10" s="14">
        <f t="shared" si="2"/>
        <v>3</v>
      </c>
      <c r="B10" s="14">
        <f t="shared" si="2"/>
        <v>43</v>
      </c>
      <c r="C10" s="38">
        <f t="shared" si="0"/>
        <v>1.0612079999999999</v>
      </c>
      <c r="E10" s="17">
        <f>+SUM(F10:O10)</f>
        <v>63672.479999999996</v>
      </c>
      <c r="F10" s="17">
        <f t="shared" si="1"/>
        <v>63672.479999999996</v>
      </c>
      <c r="G10" s="17">
        <f t="shared" si="1"/>
        <v>0</v>
      </c>
      <c r="H10" s="17">
        <f t="shared" si="1"/>
        <v>0</v>
      </c>
      <c r="I10" s="17">
        <f t="shared" si="1"/>
        <v>0</v>
      </c>
      <c r="J10" s="17">
        <f t="shared" si="1"/>
        <v>0</v>
      </c>
      <c r="K10" s="17">
        <f t="shared" si="1"/>
        <v>0</v>
      </c>
      <c r="L10" s="17">
        <f t="shared" si="1"/>
        <v>0</v>
      </c>
      <c r="M10" s="17">
        <f t="shared" si="1"/>
        <v>0</v>
      </c>
      <c r="N10" s="17">
        <f t="shared" si="1"/>
        <v>0</v>
      </c>
      <c r="O10" s="17">
        <f t="shared" si="1"/>
        <v>0</v>
      </c>
    </row>
    <row r="11" spans="1:15" ht="14.45" x14ac:dyDescent="0.3">
      <c r="A11" s="14">
        <f t="shared" si="2"/>
        <v>4</v>
      </c>
      <c r="B11" s="14">
        <f t="shared" si="2"/>
        <v>44</v>
      </c>
      <c r="C11" s="38">
        <f t="shared" si="0"/>
        <v>1.08243216</v>
      </c>
      <c r="E11" s="17">
        <f>+SUM(F11:O11)</f>
        <v>64945.929599999996</v>
      </c>
      <c r="F11" s="17">
        <f t="shared" si="1"/>
        <v>64945.929599999996</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row>
    <row r="12" spans="1:15" ht="14.45" x14ac:dyDescent="0.3">
      <c r="A12" s="14">
        <f t="shared" si="2"/>
        <v>5</v>
      </c>
      <c r="B12" s="14">
        <f t="shared" si="2"/>
        <v>45</v>
      </c>
      <c r="C12" s="38">
        <f t="shared" si="0"/>
        <v>1.1040808032</v>
      </c>
      <c r="E12" s="17">
        <f>+SUM(F12:O12)</f>
        <v>66244.848192000005</v>
      </c>
      <c r="F12" s="17">
        <f t="shared" si="1"/>
        <v>66244.848192000005</v>
      </c>
      <c r="G12" s="17">
        <f t="shared" si="1"/>
        <v>0</v>
      </c>
      <c r="H12" s="17">
        <f t="shared" si="1"/>
        <v>0</v>
      </c>
      <c r="I12" s="17">
        <f t="shared" si="1"/>
        <v>0</v>
      </c>
      <c r="J12" s="17">
        <f t="shared" si="1"/>
        <v>0</v>
      </c>
      <c r="K12" s="17">
        <f t="shared" si="1"/>
        <v>0</v>
      </c>
      <c r="L12" s="17">
        <f t="shared" si="1"/>
        <v>0</v>
      </c>
      <c r="M12" s="17">
        <f t="shared" si="1"/>
        <v>0</v>
      </c>
      <c r="N12" s="17">
        <f t="shared" si="1"/>
        <v>0</v>
      </c>
      <c r="O12" s="17">
        <f t="shared" si="1"/>
        <v>0</v>
      </c>
    </row>
    <row r="13" spans="1:15" ht="14.45" x14ac:dyDescent="0.3">
      <c r="A13" s="14">
        <f t="shared" si="2"/>
        <v>6</v>
      </c>
      <c r="B13" s="14">
        <f t="shared" si="2"/>
        <v>46</v>
      </c>
      <c r="C13" s="38">
        <f t="shared" si="0"/>
        <v>1.1261624192640001</v>
      </c>
      <c r="E13" s="17" t="str">
        <f t="shared" ref="E13:E44" ca="1" si="3">+IF(expiredLicense,"LOCKED",SUM(F13:O13))</f>
        <v>LOCKED</v>
      </c>
      <c r="F13" s="17">
        <f t="shared" si="1"/>
        <v>67569.745155840006</v>
      </c>
      <c r="G13" s="17">
        <f t="shared" si="1"/>
        <v>0</v>
      </c>
      <c r="H13" s="17">
        <f t="shared" si="1"/>
        <v>0</v>
      </c>
      <c r="I13" s="17">
        <f t="shared" si="1"/>
        <v>0</v>
      </c>
      <c r="J13" s="17">
        <f t="shared" si="1"/>
        <v>0</v>
      </c>
      <c r="K13" s="17">
        <f t="shared" si="1"/>
        <v>0</v>
      </c>
      <c r="L13" s="17">
        <f t="shared" si="1"/>
        <v>0</v>
      </c>
      <c r="M13" s="17">
        <f t="shared" si="1"/>
        <v>0</v>
      </c>
      <c r="N13" s="17">
        <f t="shared" si="1"/>
        <v>0</v>
      </c>
      <c r="O13" s="17">
        <f t="shared" si="1"/>
        <v>0</v>
      </c>
    </row>
    <row r="14" spans="1:15" ht="14.45" x14ac:dyDescent="0.3">
      <c r="A14" s="14">
        <f t="shared" si="2"/>
        <v>7</v>
      </c>
      <c r="B14" s="14">
        <f t="shared" si="2"/>
        <v>47</v>
      </c>
      <c r="C14" s="38">
        <f t="shared" si="0"/>
        <v>1.1486856676492798</v>
      </c>
      <c r="E14" s="17" t="str">
        <f t="shared" ca="1" si="3"/>
        <v>LOCKED</v>
      </c>
      <c r="F14" s="17">
        <f t="shared" si="1"/>
        <v>68921.140058956793</v>
      </c>
      <c r="G14" s="17">
        <f t="shared" si="1"/>
        <v>0</v>
      </c>
      <c r="H14" s="17">
        <f t="shared" si="1"/>
        <v>0</v>
      </c>
      <c r="I14" s="17">
        <f t="shared" si="1"/>
        <v>0</v>
      </c>
      <c r="J14" s="17">
        <f t="shared" si="1"/>
        <v>0</v>
      </c>
      <c r="K14" s="17">
        <f t="shared" si="1"/>
        <v>0</v>
      </c>
      <c r="L14" s="17">
        <f t="shared" si="1"/>
        <v>0</v>
      </c>
      <c r="M14" s="17">
        <f t="shared" si="1"/>
        <v>0</v>
      </c>
      <c r="N14" s="17">
        <f t="shared" si="1"/>
        <v>0</v>
      </c>
      <c r="O14" s="17">
        <f t="shared" si="1"/>
        <v>0</v>
      </c>
    </row>
    <row r="15" spans="1:15" ht="14.45" x14ac:dyDescent="0.3">
      <c r="A15" s="14">
        <f t="shared" si="2"/>
        <v>8</v>
      </c>
      <c r="B15" s="14">
        <f t="shared" si="2"/>
        <v>48</v>
      </c>
      <c r="C15" s="38">
        <f t="shared" si="0"/>
        <v>1.1716593810022655</v>
      </c>
      <c r="E15" s="17" t="str">
        <f t="shared" ca="1" si="3"/>
        <v>LOCKED</v>
      </c>
      <c r="F15" s="17">
        <f t="shared" si="1"/>
        <v>70299.562860135935</v>
      </c>
      <c r="G15" s="17">
        <f t="shared" si="1"/>
        <v>0</v>
      </c>
      <c r="H15" s="17">
        <f t="shared" si="1"/>
        <v>0</v>
      </c>
      <c r="I15" s="17">
        <f t="shared" si="1"/>
        <v>0</v>
      </c>
      <c r="J15" s="17">
        <f t="shared" si="1"/>
        <v>0</v>
      </c>
      <c r="K15" s="17">
        <f t="shared" si="1"/>
        <v>0</v>
      </c>
      <c r="L15" s="17">
        <f t="shared" si="1"/>
        <v>0</v>
      </c>
      <c r="M15" s="17">
        <f t="shared" si="1"/>
        <v>0</v>
      </c>
      <c r="N15" s="17">
        <f t="shared" si="1"/>
        <v>0</v>
      </c>
      <c r="O15" s="17">
        <f t="shared" si="1"/>
        <v>0</v>
      </c>
    </row>
    <row r="16" spans="1:15" ht="14.45" x14ac:dyDescent="0.3">
      <c r="A16" s="14">
        <f t="shared" si="2"/>
        <v>9</v>
      </c>
      <c r="B16" s="14">
        <f t="shared" si="2"/>
        <v>49</v>
      </c>
      <c r="C16" s="38">
        <f t="shared" si="0"/>
        <v>1.1950925686223108</v>
      </c>
      <c r="E16" s="17" t="str">
        <f t="shared" ca="1" si="3"/>
        <v>LOCKED</v>
      </c>
      <c r="F16" s="17">
        <f t="shared" si="1"/>
        <v>71705.554117338645</v>
      </c>
      <c r="G16" s="17">
        <f t="shared" si="1"/>
        <v>0</v>
      </c>
      <c r="H16" s="17">
        <f t="shared" si="1"/>
        <v>0</v>
      </c>
      <c r="I16" s="17">
        <f t="shared" si="1"/>
        <v>0</v>
      </c>
      <c r="J16" s="17">
        <f t="shared" si="1"/>
        <v>0</v>
      </c>
      <c r="K16" s="17">
        <f t="shared" si="1"/>
        <v>0</v>
      </c>
      <c r="L16" s="17">
        <f t="shared" si="1"/>
        <v>0</v>
      </c>
      <c r="M16" s="17">
        <f t="shared" si="1"/>
        <v>0</v>
      </c>
      <c r="N16" s="17">
        <f t="shared" si="1"/>
        <v>0</v>
      </c>
      <c r="O16" s="17">
        <f t="shared" si="1"/>
        <v>0</v>
      </c>
    </row>
    <row r="17" spans="1:15" ht="14.45" x14ac:dyDescent="0.3">
      <c r="A17" s="14">
        <f t="shared" si="2"/>
        <v>10</v>
      </c>
      <c r="B17" s="14">
        <f t="shared" si="2"/>
        <v>50</v>
      </c>
      <c r="C17" s="38">
        <f t="shared" si="0"/>
        <v>1.2189944199947571</v>
      </c>
      <c r="E17" s="17" t="str">
        <f t="shared" ca="1" si="3"/>
        <v>LOCKED</v>
      </c>
      <c r="F17" s="17">
        <f t="shared" si="1"/>
        <v>73139.66519968542</v>
      </c>
      <c r="G17" s="17">
        <f t="shared" si="1"/>
        <v>0</v>
      </c>
      <c r="H17" s="17">
        <f t="shared" si="1"/>
        <v>30474.860499868926</v>
      </c>
      <c r="I17" s="17">
        <f t="shared" si="1"/>
        <v>0</v>
      </c>
      <c r="J17" s="17">
        <f t="shared" si="1"/>
        <v>0</v>
      </c>
      <c r="K17" s="17">
        <f t="shared" si="1"/>
        <v>0</v>
      </c>
      <c r="L17" s="17">
        <f t="shared" si="1"/>
        <v>0</v>
      </c>
      <c r="M17" s="17">
        <f t="shared" si="1"/>
        <v>0</v>
      </c>
      <c r="N17" s="17">
        <f t="shared" si="1"/>
        <v>0</v>
      </c>
      <c r="O17" s="17">
        <f t="shared" si="1"/>
        <v>0</v>
      </c>
    </row>
    <row r="18" spans="1:15" ht="14.45" x14ac:dyDescent="0.3">
      <c r="A18" s="14">
        <f t="shared" si="2"/>
        <v>11</v>
      </c>
      <c r="B18" s="14">
        <f t="shared" si="2"/>
        <v>51</v>
      </c>
      <c r="C18" s="38">
        <f t="shared" si="0"/>
        <v>1.243374308394652</v>
      </c>
      <c r="E18" s="17" t="str">
        <f t="shared" ca="1" si="3"/>
        <v>LOCKED</v>
      </c>
      <c r="F18" s="17">
        <f t="shared" ref="F18:O27" si="4">IF(OR($B18&gt;F$5,$B18&lt;F$4),0,F$2*(1+inflation+F$3)^$A18)</f>
        <v>74602.458503679125</v>
      </c>
      <c r="G18" s="17">
        <f t="shared" si="4"/>
        <v>0</v>
      </c>
      <c r="H18" s="17">
        <f t="shared" si="4"/>
        <v>31084.357709866301</v>
      </c>
      <c r="I18" s="17">
        <f t="shared" si="4"/>
        <v>0</v>
      </c>
      <c r="J18" s="17">
        <f t="shared" si="4"/>
        <v>0</v>
      </c>
      <c r="K18" s="17">
        <f t="shared" si="4"/>
        <v>0</v>
      </c>
      <c r="L18" s="17">
        <f t="shared" si="4"/>
        <v>0</v>
      </c>
      <c r="M18" s="17">
        <f t="shared" si="4"/>
        <v>0</v>
      </c>
      <c r="N18" s="17">
        <f t="shared" si="4"/>
        <v>0</v>
      </c>
      <c r="O18" s="17">
        <f t="shared" si="4"/>
        <v>0</v>
      </c>
    </row>
    <row r="19" spans="1:15" ht="14.45" x14ac:dyDescent="0.3">
      <c r="A19" s="14">
        <f t="shared" si="2"/>
        <v>12</v>
      </c>
      <c r="B19" s="14">
        <f t="shared" si="2"/>
        <v>52</v>
      </c>
      <c r="C19" s="38">
        <f t="shared" si="0"/>
        <v>1.2682417945625453</v>
      </c>
      <c r="E19" s="17" t="str">
        <f t="shared" ca="1" si="3"/>
        <v>LOCKED</v>
      </c>
      <c r="F19" s="17">
        <f t="shared" si="4"/>
        <v>76094.507673752712</v>
      </c>
      <c r="G19" s="17">
        <f t="shared" si="4"/>
        <v>0</v>
      </c>
      <c r="H19" s="17">
        <f t="shared" si="4"/>
        <v>31706.044864063631</v>
      </c>
      <c r="I19" s="17">
        <f t="shared" si="4"/>
        <v>0</v>
      </c>
      <c r="J19" s="17">
        <f t="shared" si="4"/>
        <v>0</v>
      </c>
      <c r="K19" s="17">
        <f t="shared" si="4"/>
        <v>0</v>
      </c>
      <c r="L19" s="17">
        <f t="shared" si="4"/>
        <v>0</v>
      </c>
      <c r="M19" s="17">
        <f t="shared" si="4"/>
        <v>0</v>
      </c>
      <c r="N19" s="17">
        <f t="shared" si="4"/>
        <v>0</v>
      </c>
      <c r="O19" s="17">
        <f t="shared" si="4"/>
        <v>0</v>
      </c>
    </row>
    <row r="20" spans="1:15" ht="14.45" x14ac:dyDescent="0.3">
      <c r="A20" s="14">
        <f t="shared" si="2"/>
        <v>13</v>
      </c>
      <c r="B20" s="14">
        <f t="shared" si="2"/>
        <v>53</v>
      </c>
      <c r="C20" s="38">
        <f t="shared" si="0"/>
        <v>1.2936066304537961</v>
      </c>
      <c r="E20" s="17" t="str">
        <f t="shared" ca="1" si="3"/>
        <v>LOCKED</v>
      </c>
      <c r="F20" s="17">
        <f t="shared" si="4"/>
        <v>77616.39782722776</v>
      </c>
      <c r="G20" s="17">
        <f t="shared" si="4"/>
        <v>0</v>
      </c>
      <c r="H20" s="17">
        <f t="shared" si="4"/>
        <v>32340.165761344902</v>
      </c>
      <c r="I20" s="17">
        <f t="shared" si="4"/>
        <v>0</v>
      </c>
      <c r="J20" s="17">
        <f t="shared" si="4"/>
        <v>0</v>
      </c>
      <c r="K20" s="17">
        <f t="shared" si="4"/>
        <v>0</v>
      </c>
      <c r="L20" s="17">
        <f t="shared" si="4"/>
        <v>0</v>
      </c>
      <c r="M20" s="17">
        <f t="shared" si="4"/>
        <v>0</v>
      </c>
      <c r="N20" s="17">
        <f t="shared" si="4"/>
        <v>0</v>
      </c>
      <c r="O20" s="17">
        <f t="shared" si="4"/>
        <v>0</v>
      </c>
    </row>
    <row r="21" spans="1:15" ht="14.45" x14ac:dyDescent="0.3">
      <c r="A21" s="14">
        <f t="shared" si="2"/>
        <v>14</v>
      </c>
      <c r="B21" s="14">
        <f t="shared" si="2"/>
        <v>54</v>
      </c>
      <c r="C21" s="38">
        <f t="shared" si="0"/>
        <v>1.3194787630628722</v>
      </c>
      <c r="E21" s="17" t="str">
        <f t="shared" ca="1" si="3"/>
        <v>LOCKED</v>
      </c>
      <c r="F21" s="17">
        <f t="shared" si="4"/>
        <v>79168.72578377233</v>
      </c>
      <c r="G21" s="17">
        <f t="shared" si="4"/>
        <v>0</v>
      </c>
      <c r="H21" s="17">
        <f t="shared" si="4"/>
        <v>0</v>
      </c>
      <c r="I21" s="17">
        <f t="shared" si="4"/>
        <v>0</v>
      </c>
      <c r="J21" s="17">
        <f t="shared" si="4"/>
        <v>0</v>
      </c>
      <c r="K21" s="17">
        <f t="shared" si="4"/>
        <v>0</v>
      </c>
      <c r="L21" s="17">
        <f t="shared" si="4"/>
        <v>0</v>
      </c>
      <c r="M21" s="17">
        <f t="shared" si="4"/>
        <v>0</v>
      </c>
      <c r="N21" s="17">
        <f t="shared" si="4"/>
        <v>0</v>
      </c>
      <c r="O21" s="17">
        <f t="shared" si="4"/>
        <v>0</v>
      </c>
    </row>
    <row r="22" spans="1:15" ht="14.45" x14ac:dyDescent="0.3">
      <c r="A22" s="14">
        <f t="shared" si="2"/>
        <v>15</v>
      </c>
      <c r="B22" s="14">
        <f t="shared" si="2"/>
        <v>55</v>
      </c>
      <c r="C22" s="38">
        <f t="shared" si="0"/>
        <v>1.3458683383241292</v>
      </c>
      <c r="E22" s="17" t="str">
        <f t="shared" ca="1" si="3"/>
        <v>LOCKED</v>
      </c>
      <c r="F22" s="17">
        <f t="shared" si="4"/>
        <v>80752.10029944776</v>
      </c>
      <c r="G22" s="17">
        <f t="shared" si="4"/>
        <v>0</v>
      </c>
      <c r="H22" s="17">
        <f t="shared" si="4"/>
        <v>0</v>
      </c>
      <c r="I22" s="17">
        <f t="shared" si="4"/>
        <v>0</v>
      </c>
      <c r="J22" s="17">
        <f t="shared" si="4"/>
        <v>0</v>
      </c>
      <c r="K22" s="17">
        <f t="shared" si="4"/>
        <v>0</v>
      </c>
      <c r="L22" s="17">
        <f t="shared" si="4"/>
        <v>0</v>
      </c>
      <c r="M22" s="17">
        <f t="shared" si="4"/>
        <v>0</v>
      </c>
      <c r="N22" s="17">
        <f t="shared" si="4"/>
        <v>0</v>
      </c>
      <c r="O22" s="17">
        <f t="shared" si="4"/>
        <v>0</v>
      </c>
    </row>
    <row r="23" spans="1:15" ht="14.45" x14ac:dyDescent="0.3">
      <c r="A23" s="14">
        <f t="shared" si="2"/>
        <v>16</v>
      </c>
      <c r="B23" s="14">
        <f t="shared" si="2"/>
        <v>56</v>
      </c>
      <c r="C23" s="38">
        <f t="shared" si="0"/>
        <v>1.372785705090612</v>
      </c>
      <c r="E23" s="17" t="str">
        <f t="shared" ca="1" si="3"/>
        <v>LOCKED</v>
      </c>
      <c r="F23" s="17">
        <f t="shared" si="4"/>
        <v>82367.142305436719</v>
      </c>
      <c r="G23" s="17">
        <f t="shared" si="4"/>
        <v>0</v>
      </c>
      <c r="H23" s="17">
        <f t="shared" si="4"/>
        <v>0</v>
      </c>
      <c r="I23" s="17">
        <f t="shared" si="4"/>
        <v>0</v>
      </c>
      <c r="J23" s="17">
        <f t="shared" si="4"/>
        <v>0</v>
      </c>
      <c r="K23" s="17">
        <f t="shared" si="4"/>
        <v>0</v>
      </c>
      <c r="L23" s="17">
        <f t="shared" si="4"/>
        <v>0</v>
      </c>
      <c r="M23" s="17">
        <f t="shared" si="4"/>
        <v>0</v>
      </c>
      <c r="N23" s="17">
        <f t="shared" si="4"/>
        <v>0</v>
      </c>
      <c r="O23" s="17">
        <f t="shared" si="4"/>
        <v>0</v>
      </c>
    </row>
    <row r="24" spans="1:15" ht="14.45" x14ac:dyDescent="0.3">
      <c r="A24" s="14">
        <f t="shared" si="2"/>
        <v>17</v>
      </c>
      <c r="B24" s="14">
        <f t="shared" si="2"/>
        <v>57</v>
      </c>
      <c r="C24" s="38">
        <f t="shared" si="0"/>
        <v>1.4002414191924244</v>
      </c>
      <c r="E24" s="17" t="str">
        <f t="shared" ca="1" si="3"/>
        <v>LOCKED</v>
      </c>
      <c r="F24" s="17">
        <f t="shared" si="4"/>
        <v>84014.485151545465</v>
      </c>
      <c r="G24" s="17">
        <f t="shared" si="4"/>
        <v>0</v>
      </c>
      <c r="H24" s="17">
        <f t="shared" si="4"/>
        <v>0</v>
      </c>
      <c r="I24" s="17">
        <f t="shared" si="4"/>
        <v>0</v>
      </c>
      <c r="J24" s="17">
        <f t="shared" si="4"/>
        <v>0</v>
      </c>
      <c r="K24" s="17">
        <f t="shared" si="4"/>
        <v>0</v>
      </c>
      <c r="L24" s="17">
        <f t="shared" si="4"/>
        <v>0</v>
      </c>
      <c r="M24" s="17">
        <f t="shared" si="4"/>
        <v>0</v>
      </c>
      <c r="N24" s="17">
        <f t="shared" si="4"/>
        <v>0</v>
      </c>
      <c r="O24" s="17">
        <f t="shared" si="4"/>
        <v>0</v>
      </c>
    </row>
    <row r="25" spans="1:15" ht="14.45" x14ac:dyDescent="0.3">
      <c r="A25" s="14">
        <f t="shared" ref="A25:B40" si="5">+A24+1</f>
        <v>18</v>
      </c>
      <c r="B25" s="14">
        <f t="shared" si="5"/>
        <v>58</v>
      </c>
      <c r="C25" s="38">
        <f t="shared" si="0"/>
        <v>1.4282462475762727</v>
      </c>
      <c r="E25" s="17" t="str">
        <f t="shared" ca="1" si="3"/>
        <v>LOCKED</v>
      </c>
      <c r="F25" s="17">
        <f t="shared" si="4"/>
        <v>85694.774854576361</v>
      </c>
      <c r="G25" s="17">
        <f t="shared" si="4"/>
        <v>0</v>
      </c>
      <c r="H25" s="17">
        <f t="shared" si="4"/>
        <v>0</v>
      </c>
      <c r="I25" s="17">
        <f t="shared" si="4"/>
        <v>0</v>
      </c>
      <c r="J25" s="17">
        <f t="shared" si="4"/>
        <v>0</v>
      </c>
      <c r="K25" s="17">
        <f t="shared" si="4"/>
        <v>0</v>
      </c>
      <c r="L25" s="17">
        <f t="shared" si="4"/>
        <v>0</v>
      </c>
      <c r="M25" s="17">
        <f t="shared" si="4"/>
        <v>0</v>
      </c>
      <c r="N25" s="17">
        <f t="shared" si="4"/>
        <v>0</v>
      </c>
      <c r="O25" s="17">
        <f t="shared" si="4"/>
        <v>0</v>
      </c>
    </row>
    <row r="26" spans="1:15" ht="14.45" x14ac:dyDescent="0.3">
      <c r="A26" s="14">
        <f t="shared" si="5"/>
        <v>19</v>
      </c>
      <c r="B26" s="14">
        <f t="shared" si="5"/>
        <v>59</v>
      </c>
      <c r="C26" s="38">
        <f t="shared" si="0"/>
        <v>1.4568111725277981</v>
      </c>
      <c r="E26" s="17" t="str">
        <f t="shared" ca="1" si="3"/>
        <v>LOCKED</v>
      </c>
      <c r="F26" s="17">
        <f t="shared" si="4"/>
        <v>87408.670351667883</v>
      </c>
      <c r="G26" s="17">
        <f t="shared" si="4"/>
        <v>0</v>
      </c>
      <c r="H26" s="17">
        <f t="shared" si="4"/>
        <v>0</v>
      </c>
      <c r="I26" s="17">
        <f t="shared" si="4"/>
        <v>0</v>
      </c>
      <c r="J26" s="17">
        <f t="shared" si="4"/>
        <v>0</v>
      </c>
      <c r="K26" s="17">
        <f t="shared" si="4"/>
        <v>0</v>
      </c>
      <c r="L26" s="17">
        <f t="shared" si="4"/>
        <v>0</v>
      </c>
      <c r="M26" s="17">
        <f t="shared" si="4"/>
        <v>0</v>
      </c>
      <c r="N26" s="17">
        <f t="shared" si="4"/>
        <v>0</v>
      </c>
      <c r="O26" s="17">
        <f t="shared" si="4"/>
        <v>0</v>
      </c>
    </row>
    <row r="27" spans="1:15" ht="14.45" x14ac:dyDescent="0.3">
      <c r="A27" s="14">
        <f t="shared" si="5"/>
        <v>20</v>
      </c>
      <c r="B27" s="14">
        <f t="shared" si="5"/>
        <v>60</v>
      </c>
      <c r="C27" s="38">
        <f t="shared" si="0"/>
        <v>1.4859473959783542</v>
      </c>
      <c r="E27" s="17" t="str">
        <f t="shared" ca="1" si="3"/>
        <v>LOCKED</v>
      </c>
      <c r="F27" s="17">
        <f t="shared" si="4"/>
        <v>89156.84375870126</v>
      </c>
      <c r="G27" s="17">
        <f t="shared" si="4"/>
        <v>0</v>
      </c>
      <c r="H27" s="17">
        <f t="shared" si="4"/>
        <v>0</v>
      </c>
      <c r="I27" s="17">
        <f t="shared" si="4"/>
        <v>0</v>
      </c>
      <c r="J27" s="17">
        <f t="shared" si="4"/>
        <v>0</v>
      </c>
      <c r="K27" s="17">
        <f t="shared" si="4"/>
        <v>0</v>
      </c>
      <c r="L27" s="17">
        <f t="shared" si="4"/>
        <v>0</v>
      </c>
      <c r="M27" s="17">
        <f t="shared" si="4"/>
        <v>0</v>
      </c>
      <c r="N27" s="17">
        <f t="shared" si="4"/>
        <v>0</v>
      </c>
      <c r="O27" s="17">
        <f t="shared" si="4"/>
        <v>0</v>
      </c>
    </row>
    <row r="28" spans="1:15" ht="14.45" x14ac:dyDescent="0.3">
      <c r="A28" s="14">
        <f t="shared" si="5"/>
        <v>21</v>
      </c>
      <c r="B28" s="14">
        <f t="shared" si="5"/>
        <v>61</v>
      </c>
      <c r="C28" s="38">
        <f t="shared" si="0"/>
        <v>1.5156663438979212</v>
      </c>
      <c r="E28" s="17" t="str">
        <f t="shared" ca="1" si="3"/>
        <v>LOCKED</v>
      </c>
      <c r="F28" s="17">
        <f t="shared" ref="F28:O37" si="6">IF(OR($B28&gt;F$5,$B28&lt;F$4),0,F$2*(1+inflation+F$3)^$A28)</f>
        <v>90939.980633875268</v>
      </c>
      <c r="G28" s="17">
        <f t="shared" si="6"/>
        <v>0</v>
      </c>
      <c r="H28" s="17">
        <f t="shared" si="6"/>
        <v>0</v>
      </c>
      <c r="I28" s="17">
        <f t="shared" si="6"/>
        <v>0</v>
      </c>
      <c r="J28" s="17">
        <f t="shared" si="6"/>
        <v>0</v>
      </c>
      <c r="K28" s="17">
        <f t="shared" si="6"/>
        <v>0</v>
      </c>
      <c r="L28" s="17">
        <f t="shared" si="6"/>
        <v>0</v>
      </c>
      <c r="M28" s="17">
        <f t="shared" si="6"/>
        <v>0</v>
      </c>
      <c r="N28" s="17">
        <f t="shared" si="6"/>
        <v>0</v>
      </c>
      <c r="O28" s="17">
        <f t="shared" si="6"/>
        <v>0</v>
      </c>
    </row>
    <row r="29" spans="1:15" ht="14.45" x14ac:dyDescent="0.3">
      <c r="A29" s="14">
        <f t="shared" si="5"/>
        <v>22</v>
      </c>
      <c r="B29" s="14">
        <f t="shared" si="5"/>
        <v>62</v>
      </c>
      <c r="C29" s="38">
        <f t="shared" si="0"/>
        <v>1.5459796707758797</v>
      </c>
      <c r="E29" s="17" t="str">
        <f t="shared" ca="1" si="3"/>
        <v>LOCKED</v>
      </c>
      <c r="F29" s="17">
        <f t="shared" si="6"/>
        <v>92758.780246552778</v>
      </c>
      <c r="G29" s="17">
        <f t="shared" si="6"/>
        <v>0</v>
      </c>
      <c r="H29" s="17">
        <f t="shared" si="6"/>
        <v>0</v>
      </c>
      <c r="I29" s="17">
        <f t="shared" si="6"/>
        <v>0</v>
      </c>
      <c r="J29" s="17">
        <f t="shared" si="6"/>
        <v>0</v>
      </c>
      <c r="K29" s="17">
        <f t="shared" si="6"/>
        <v>0</v>
      </c>
      <c r="L29" s="17">
        <f t="shared" si="6"/>
        <v>0</v>
      </c>
      <c r="M29" s="17">
        <f t="shared" si="6"/>
        <v>0</v>
      </c>
      <c r="N29" s="17">
        <f t="shared" si="6"/>
        <v>0</v>
      </c>
      <c r="O29" s="17">
        <f t="shared" si="6"/>
        <v>0</v>
      </c>
    </row>
    <row r="30" spans="1:15" ht="14.45" x14ac:dyDescent="0.3">
      <c r="A30" s="14">
        <f t="shared" si="5"/>
        <v>23</v>
      </c>
      <c r="B30" s="14">
        <f t="shared" si="5"/>
        <v>63</v>
      </c>
      <c r="C30" s="38">
        <f t="shared" si="0"/>
        <v>1.576899264191397</v>
      </c>
      <c r="E30" s="17" t="str">
        <f t="shared" ca="1" si="3"/>
        <v>LOCKED</v>
      </c>
      <c r="F30" s="17">
        <f t="shared" si="6"/>
        <v>94613.955851483828</v>
      </c>
      <c r="G30" s="17">
        <f t="shared" si="6"/>
        <v>0</v>
      </c>
      <c r="H30" s="17">
        <f t="shared" si="6"/>
        <v>0</v>
      </c>
      <c r="I30" s="17">
        <f t="shared" si="6"/>
        <v>0</v>
      </c>
      <c r="J30" s="17">
        <f t="shared" si="6"/>
        <v>0</v>
      </c>
      <c r="K30" s="17">
        <f t="shared" si="6"/>
        <v>0</v>
      </c>
      <c r="L30" s="17">
        <f t="shared" si="6"/>
        <v>0</v>
      </c>
      <c r="M30" s="17">
        <f t="shared" si="6"/>
        <v>0</v>
      </c>
      <c r="N30" s="17">
        <f t="shared" si="6"/>
        <v>0</v>
      </c>
      <c r="O30" s="17">
        <f t="shared" si="6"/>
        <v>0</v>
      </c>
    </row>
    <row r="31" spans="1:15" ht="14.45" x14ac:dyDescent="0.3">
      <c r="A31" s="14">
        <f t="shared" si="5"/>
        <v>24</v>
      </c>
      <c r="B31" s="14">
        <f t="shared" si="5"/>
        <v>64</v>
      </c>
      <c r="C31" s="38">
        <f t="shared" si="0"/>
        <v>1.608437249475225</v>
      </c>
      <c r="E31" s="17" t="str">
        <f t="shared" ca="1" si="3"/>
        <v>LOCKED</v>
      </c>
      <c r="F31" s="17">
        <f t="shared" si="6"/>
        <v>96506.234968513498</v>
      </c>
      <c r="G31" s="17">
        <f t="shared" si="6"/>
        <v>0</v>
      </c>
      <c r="H31" s="17">
        <f t="shared" si="6"/>
        <v>0</v>
      </c>
      <c r="I31" s="17">
        <f t="shared" si="6"/>
        <v>0</v>
      </c>
      <c r="J31" s="17">
        <f t="shared" si="6"/>
        <v>0</v>
      </c>
      <c r="K31" s="17">
        <f t="shared" si="6"/>
        <v>0</v>
      </c>
      <c r="L31" s="17">
        <f t="shared" si="6"/>
        <v>0</v>
      </c>
      <c r="M31" s="17">
        <f t="shared" si="6"/>
        <v>0</v>
      </c>
      <c r="N31" s="17">
        <f t="shared" si="6"/>
        <v>0</v>
      </c>
      <c r="O31" s="17">
        <f t="shared" si="6"/>
        <v>0</v>
      </c>
    </row>
    <row r="32" spans="1:15" ht="14.45" x14ac:dyDescent="0.3">
      <c r="A32" s="14">
        <f t="shared" si="5"/>
        <v>25</v>
      </c>
      <c r="B32" s="14">
        <f t="shared" si="5"/>
        <v>65</v>
      </c>
      <c r="C32" s="38">
        <f t="shared" si="0"/>
        <v>1.6406059944647295</v>
      </c>
      <c r="E32" s="17" t="str">
        <f t="shared" ca="1" si="3"/>
        <v>LOCKED</v>
      </c>
      <c r="F32" s="17">
        <f t="shared" si="6"/>
        <v>98436.359667883778</v>
      </c>
      <c r="G32" s="17">
        <f t="shared" si="6"/>
        <v>0</v>
      </c>
      <c r="H32" s="17">
        <f t="shared" si="6"/>
        <v>0</v>
      </c>
      <c r="I32" s="17">
        <f t="shared" si="6"/>
        <v>0</v>
      </c>
      <c r="J32" s="17">
        <f t="shared" si="6"/>
        <v>0</v>
      </c>
      <c r="K32" s="17">
        <f t="shared" si="6"/>
        <v>0</v>
      </c>
      <c r="L32" s="17">
        <f t="shared" si="6"/>
        <v>0</v>
      </c>
      <c r="M32" s="17">
        <f t="shared" si="6"/>
        <v>0</v>
      </c>
      <c r="N32" s="17">
        <f t="shared" si="6"/>
        <v>0</v>
      </c>
      <c r="O32" s="17">
        <f t="shared" si="6"/>
        <v>0</v>
      </c>
    </row>
    <row r="33" spans="1:15" ht="14.45" x14ac:dyDescent="0.3">
      <c r="A33" s="14">
        <f t="shared" si="5"/>
        <v>26</v>
      </c>
      <c r="B33" s="14">
        <f t="shared" si="5"/>
        <v>66</v>
      </c>
      <c r="C33" s="38">
        <f t="shared" si="0"/>
        <v>1.6734181143540243</v>
      </c>
      <c r="E33" s="17" t="str">
        <f t="shared" ca="1" si="3"/>
        <v>LOCKED</v>
      </c>
      <c r="F33" s="17">
        <f t="shared" si="6"/>
        <v>100405.08686124146</v>
      </c>
      <c r="G33" s="17">
        <f t="shared" si="6"/>
        <v>0</v>
      </c>
      <c r="H33" s="17">
        <f t="shared" si="6"/>
        <v>0</v>
      </c>
      <c r="I33" s="17">
        <f t="shared" si="6"/>
        <v>0</v>
      </c>
      <c r="J33" s="17">
        <f t="shared" si="6"/>
        <v>0</v>
      </c>
      <c r="K33" s="17">
        <f t="shared" si="6"/>
        <v>0</v>
      </c>
      <c r="L33" s="17">
        <f t="shared" si="6"/>
        <v>0</v>
      </c>
      <c r="M33" s="17">
        <f t="shared" si="6"/>
        <v>0</v>
      </c>
      <c r="N33" s="17">
        <f t="shared" si="6"/>
        <v>0</v>
      </c>
      <c r="O33" s="17">
        <f t="shared" si="6"/>
        <v>0</v>
      </c>
    </row>
    <row r="34" spans="1:15" ht="14.45" x14ac:dyDescent="0.3">
      <c r="A34" s="14">
        <f t="shared" si="5"/>
        <v>27</v>
      </c>
      <c r="B34" s="14">
        <f t="shared" si="5"/>
        <v>67</v>
      </c>
      <c r="C34" s="38">
        <f t="shared" si="0"/>
        <v>1.7068864766411045</v>
      </c>
      <c r="E34" s="17" t="str">
        <f t="shared" ca="1" si="3"/>
        <v>LOCKED</v>
      </c>
      <c r="F34" s="17">
        <f t="shared" si="6"/>
        <v>102413.18859846627</v>
      </c>
      <c r="G34" s="17">
        <f t="shared" si="6"/>
        <v>0</v>
      </c>
      <c r="H34" s="17">
        <f t="shared" si="6"/>
        <v>0</v>
      </c>
      <c r="I34" s="17">
        <f t="shared" si="6"/>
        <v>0</v>
      </c>
      <c r="J34" s="17">
        <f t="shared" si="6"/>
        <v>0</v>
      </c>
      <c r="K34" s="17">
        <f t="shared" si="6"/>
        <v>0</v>
      </c>
      <c r="L34" s="17">
        <f t="shared" si="6"/>
        <v>0</v>
      </c>
      <c r="M34" s="17">
        <f t="shared" si="6"/>
        <v>0</v>
      </c>
      <c r="N34" s="17">
        <f t="shared" si="6"/>
        <v>0</v>
      </c>
      <c r="O34" s="17">
        <f t="shared" si="6"/>
        <v>0</v>
      </c>
    </row>
    <row r="35" spans="1:15" ht="14.45" x14ac:dyDescent="0.3">
      <c r="A35" s="14">
        <f t="shared" si="5"/>
        <v>28</v>
      </c>
      <c r="B35" s="14">
        <f t="shared" si="5"/>
        <v>68</v>
      </c>
      <c r="C35" s="38">
        <f t="shared" si="0"/>
        <v>1.7410242061739269</v>
      </c>
      <c r="E35" s="17" t="str">
        <f t="shared" ca="1" si="3"/>
        <v>LOCKED</v>
      </c>
      <c r="F35" s="17">
        <f t="shared" si="6"/>
        <v>0</v>
      </c>
      <c r="G35" s="17">
        <f t="shared" si="6"/>
        <v>87051.210308696347</v>
      </c>
      <c r="H35" s="17">
        <f t="shared" si="6"/>
        <v>0</v>
      </c>
      <c r="I35" s="17">
        <f t="shared" si="6"/>
        <v>0</v>
      </c>
      <c r="J35" s="17">
        <f t="shared" si="6"/>
        <v>0</v>
      </c>
      <c r="K35" s="17">
        <f t="shared" si="6"/>
        <v>0</v>
      </c>
      <c r="L35" s="17">
        <f t="shared" si="6"/>
        <v>0</v>
      </c>
      <c r="M35" s="17">
        <f t="shared" si="6"/>
        <v>0</v>
      </c>
      <c r="N35" s="17">
        <f t="shared" si="6"/>
        <v>0</v>
      </c>
      <c r="O35" s="17">
        <f t="shared" si="6"/>
        <v>0</v>
      </c>
    </row>
    <row r="36" spans="1:15" ht="14.45" x14ac:dyDescent="0.3">
      <c r="A36" s="14">
        <f t="shared" si="5"/>
        <v>29</v>
      </c>
      <c r="B36" s="14">
        <f t="shared" si="5"/>
        <v>69</v>
      </c>
      <c r="C36" s="38">
        <f t="shared" si="0"/>
        <v>1.7758446902974052</v>
      </c>
      <c r="E36" s="17" t="str">
        <f t="shared" ca="1" si="3"/>
        <v>LOCKED</v>
      </c>
      <c r="F36" s="17">
        <f t="shared" si="6"/>
        <v>0</v>
      </c>
      <c r="G36" s="17">
        <f t="shared" si="6"/>
        <v>88792.234514870259</v>
      </c>
      <c r="H36" s="17">
        <f t="shared" si="6"/>
        <v>0</v>
      </c>
      <c r="I36" s="17">
        <f t="shared" si="6"/>
        <v>0</v>
      </c>
      <c r="J36" s="17">
        <f t="shared" si="6"/>
        <v>0</v>
      </c>
      <c r="K36" s="17">
        <f t="shared" si="6"/>
        <v>0</v>
      </c>
      <c r="L36" s="17">
        <f t="shared" si="6"/>
        <v>0</v>
      </c>
      <c r="M36" s="17">
        <f t="shared" si="6"/>
        <v>0</v>
      </c>
      <c r="N36" s="17">
        <f t="shared" si="6"/>
        <v>0</v>
      </c>
      <c r="O36" s="17">
        <f t="shared" si="6"/>
        <v>0</v>
      </c>
    </row>
    <row r="37" spans="1:15" ht="14.45" x14ac:dyDescent="0.3">
      <c r="A37" s="14">
        <f t="shared" si="5"/>
        <v>30</v>
      </c>
      <c r="B37" s="14">
        <f t="shared" si="5"/>
        <v>70</v>
      </c>
      <c r="C37" s="38">
        <f t="shared" si="0"/>
        <v>1.8113615841033535</v>
      </c>
      <c r="E37" s="17" t="str">
        <f t="shared" ca="1" si="3"/>
        <v>LOCKED</v>
      </c>
      <c r="F37" s="17">
        <f t="shared" si="6"/>
        <v>0</v>
      </c>
      <c r="G37" s="17">
        <f t="shared" si="6"/>
        <v>90568.079205167669</v>
      </c>
      <c r="H37" s="17">
        <f t="shared" si="6"/>
        <v>0</v>
      </c>
      <c r="I37" s="17">
        <f t="shared" si="6"/>
        <v>0</v>
      </c>
      <c r="J37" s="17">
        <f t="shared" si="6"/>
        <v>0</v>
      </c>
      <c r="K37" s="17">
        <f t="shared" si="6"/>
        <v>0</v>
      </c>
      <c r="L37" s="17">
        <f t="shared" si="6"/>
        <v>0</v>
      </c>
      <c r="M37" s="17">
        <f t="shared" si="6"/>
        <v>0</v>
      </c>
      <c r="N37" s="17">
        <f t="shared" si="6"/>
        <v>0</v>
      </c>
      <c r="O37" s="17">
        <f t="shared" si="6"/>
        <v>0</v>
      </c>
    </row>
    <row r="38" spans="1:15" ht="14.45" x14ac:dyDescent="0.3">
      <c r="A38" s="14">
        <f t="shared" si="5"/>
        <v>31</v>
      </c>
      <c r="B38" s="14">
        <f t="shared" si="5"/>
        <v>71</v>
      </c>
      <c r="C38" s="38">
        <f t="shared" si="0"/>
        <v>1.8475888157854201</v>
      </c>
      <c r="E38" s="17" t="str">
        <f t="shared" ca="1" si="3"/>
        <v>LOCKED</v>
      </c>
      <c r="F38" s="17">
        <f t="shared" ref="F38:O47" si="7">IF(OR($B38&gt;F$5,$B38&lt;F$4),0,F$2*(1+inflation+F$3)^$A38)</f>
        <v>0</v>
      </c>
      <c r="G38" s="17">
        <f t="shared" si="7"/>
        <v>92379.440789271001</v>
      </c>
      <c r="H38" s="17">
        <f t="shared" si="7"/>
        <v>0</v>
      </c>
      <c r="I38" s="17">
        <f t="shared" si="7"/>
        <v>0</v>
      </c>
      <c r="J38" s="17">
        <f t="shared" si="7"/>
        <v>0</v>
      </c>
      <c r="K38" s="17">
        <f t="shared" si="7"/>
        <v>0</v>
      </c>
      <c r="L38" s="17">
        <f t="shared" si="7"/>
        <v>0</v>
      </c>
      <c r="M38" s="17">
        <f t="shared" si="7"/>
        <v>0</v>
      </c>
      <c r="N38" s="17">
        <f t="shared" si="7"/>
        <v>0</v>
      </c>
      <c r="O38" s="17">
        <f t="shared" si="7"/>
        <v>0</v>
      </c>
    </row>
    <row r="39" spans="1:15" ht="14.45" x14ac:dyDescent="0.3">
      <c r="A39" s="14">
        <f t="shared" si="5"/>
        <v>32</v>
      </c>
      <c r="B39" s="14">
        <f t="shared" si="5"/>
        <v>72</v>
      </c>
      <c r="C39" s="38">
        <f t="shared" ref="C39:C70" si="8">+(1+inflation)^A39</f>
        <v>1.8845405921011289</v>
      </c>
      <c r="E39" s="17" t="str">
        <f t="shared" ca="1" si="3"/>
        <v>LOCKED</v>
      </c>
      <c r="F39" s="17">
        <f t="shared" si="7"/>
        <v>0</v>
      </c>
      <c r="G39" s="17">
        <f t="shared" si="7"/>
        <v>94227.02960505645</v>
      </c>
      <c r="H39" s="17">
        <f t="shared" si="7"/>
        <v>0</v>
      </c>
      <c r="I39" s="17">
        <f t="shared" si="7"/>
        <v>0</v>
      </c>
      <c r="J39" s="17">
        <f t="shared" si="7"/>
        <v>0</v>
      </c>
      <c r="K39" s="17">
        <f t="shared" si="7"/>
        <v>0</v>
      </c>
      <c r="L39" s="17">
        <f t="shared" si="7"/>
        <v>0</v>
      </c>
      <c r="M39" s="17">
        <f t="shared" si="7"/>
        <v>0</v>
      </c>
      <c r="N39" s="17">
        <f t="shared" si="7"/>
        <v>0</v>
      </c>
      <c r="O39" s="17">
        <f t="shared" si="7"/>
        <v>0</v>
      </c>
    </row>
    <row r="40" spans="1:15" ht="14.45" x14ac:dyDescent="0.3">
      <c r="A40" s="14">
        <f t="shared" si="5"/>
        <v>33</v>
      </c>
      <c r="B40" s="14">
        <f t="shared" si="5"/>
        <v>73</v>
      </c>
      <c r="C40" s="38">
        <f t="shared" si="8"/>
        <v>1.9222314039431516</v>
      </c>
      <c r="E40" s="17" t="str">
        <f t="shared" ca="1" si="3"/>
        <v>LOCKED</v>
      </c>
      <c r="F40" s="17">
        <f t="shared" si="7"/>
        <v>0</v>
      </c>
      <c r="G40" s="17">
        <f t="shared" si="7"/>
        <v>96111.570197157576</v>
      </c>
      <c r="H40" s="17">
        <f t="shared" si="7"/>
        <v>0</v>
      </c>
      <c r="I40" s="17">
        <f t="shared" si="7"/>
        <v>0</v>
      </c>
      <c r="J40" s="17">
        <f t="shared" si="7"/>
        <v>0</v>
      </c>
      <c r="K40" s="17">
        <f t="shared" si="7"/>
        <v>0</v>
      </c>
      <c r="L40" s="17">
        <f t="shared" si="7"/>
        <v>0</v>
      </c>
      <c r="M40" s="17">
        <f t="shared" si="7"/>
        <v>0</v>
      </c>
      <c r="N40" s="17">
        <f t="shared" si="7"/>
        <v>0</v>
      </c>
      <c r="O40" s="17">
        <f t="shared" si="7"/>
        <v>0</v>
      </c>
    </row>
    <row r="41" spans="1:15" ht="14.45" x14ac:dyDescent="0.3">
      <c r="A41" s="14">
        <f t="shared" ref="A41:B56" si="9">+A40+1</f>
        <v>34</v>
      </c>
      <c r="B41" s="14">
        <f t="shared" si="9"/>
        <v>74</v>
      </c>
      <c r="C41" s="38">
        <f t="shared" si="8"/>
        <v>1.9606760320220145</v>
      </c>
      <c r="E41" s="17" t="str">
        <f t="shared" ca="1" si="3"/>
        <v>LOCKED</v>
      </c>
      <c r="F41" s="17">
        <f t="shared" si="7"/>
        <v>0</v>
      </c>
      <c r="G41" s="17">
        <f t="shared" si="7"/>
        <v>98033.801601100728</v>
      </c>
      <c r="H41" s="17">
        <f t="shared" si="7"/>
        <v>0</v>
      </c>
      <c r="I41" s="17">
        <f t="shared" si="7"/>
        <v>0</v>
      </c>
      <c r="J41" s="17">
        <f t="shared" si="7"/>
        <v>0</v>
      </c>
      <c r="K41" s="17">
        <f t="shared" si="7"/>
        <v>0</v>
      </c>
      <c r="L41" s="17">
        <f t="shared" si="7"/>
        <v>0</v>
      </c>
      <c r="M41" s="17">
        <f t="shared" si="7"/>
        <v>0</v>
      </c>
      <c r="N41" s="17">
        <f t="shared" si="7"/>
        <v>0</v>
      </c>
      <c r="O41" s="17">
        <f t="shared" si="7"/>
        <v>0</v>
      </c>
    </row>
    <row r="42" spans="1:15" ht="14.45" x14ac:dyDescent="0.3">
      <c r="A42" s="14">
        <f t="shared" si="9"/>
        <v>35</v>
      </c>
      <c r="B42" s="14">
        <f t="shared" si="9"/>
        <v>75</v>
      </c>
      <c r="C42" s="38">
        <f t="shared" si="8"/>
        <v>1.9998895526624547</v>
      </c>
      <c r="E42" s="17" t="str">
        <f t="shared" ca="1" si="3"/>
        <v>LOCKED</v>
      </c>
      <c r="F42" s="17">
        <f t="shared" si="7"/>
        <v>0</v>
      </c>
      <c r="G42" s="17">
        <f t="shared" si="7"/>
        <v>99994.477633122733</v>
      </c>
      <c r="H42" s="17">
        <f t="shared" si="7"/>
        <v>0</v>
      </c>
      <c r="I42" s="17">
        <f t="shared" si="7"/>
        <v>0</v>
      </c>
      <c r="J42" s="17">
        <f t="shared" si="7"/>
        <v>0</v>
      </c>
      <c r="K42" s="17">
        <f t="shared" si="7"/>
        <v>0</v>
      </c>
      <c r="L42" s="17">
        <f t="shared" si="7"/>
        <v>0</v>
      </c>
      <c r="M42" s="17">
        <f t="shared" si="7"/>
        <v>0</v>
      </c>
      <c r="N42" s="17">
        <f t="shared" si="7"/>
        <v>0</v>
      </c>
      <c r="O42" s="17">
        <f t="shared" si="7"/>
        <v>0</v>
      </c>
    </row>
    <row r="43" spans="1:15" ht="14.45" x14ac:dyDescent="0.3">
      <c r="A43" s="14">
        <f t="shared" si="9"/>
        <v>36</v>
      </c>
      <c r="B43" s="14">
        <f t="shared" si="9"/>
        <v>76</v>
      </c>
      <c r="C43" s="38">
        <f t="shared" si="8"/>
        <v>2.0398873437157037</v>
      </c>
      <c r="E43" s="17" t="str">
        <f t="shared" ca="1" si="3"/>
        <v>LOCKED</v>
      </c>
      <c r="F43" s="17">
        <f t="shared" si="7"/>
        <v>0</v>
      </c>
      <c r="G43" s="17">
        <f t="shared" si="7"/>
        <v>101994.36718578519</v>
      </c>
      <c r="H43" s="17">
        <f t="shared" si="7"/>
        <v>0</v>
      </c>
      <c r="I43" s="17">
        <f t="shared" si="7"/>
        <v>0</v>
      </c>
      <c r="J43" s="17">
        <f t="shared" si="7"/>
        <v>0</v>
      </c>
      <c r="K43" s="17">
        <f t="shared" si="7"/>
        <v>0</v>
      </c>
      <c r="L43" s="17">
        <f t="shared" si="7"/>
        <v>0</v>
      </c>
      <c r="M43" s="17">
        <f t="shared" si="7"/>
        <v>0</v>
      </c>
      <c r="N43" s="17">
        <f t="shared" si="7"/>
        <v>0</v>
      </c>
      <c r="O43" s="17">
        <f t="shared" si="7"/>
        <v>0</v>
      </c>
    </row>
    <row r="44" spans="1:15" ht="14.45" x14ac:dyDescent="0.3">
      <c r="A44" s="14">
        <f t="shared" si="9"/>
        <v>37</v>
      </c>
      <c r="B44" s="14">
        <f t="shared" si="9"/>
        <v>77</v>
      </c>
      <c r="C44" s="38">
        <f t="shared" si="8"/>
        <v>2.080685090590018</v>
      </c>
      <c r="E44" s="17" t="str">
        <f t="shared" ca="1" si="3"/>
        <v>LOCKED</v>
      </c>
      <c r="F44" s="17">
        <f t="shared" si="7"/>
        <v>0</v>
      </c>
      <c r="G44" s="17">
        <f t="shared" si="7"/>
        <v>104034.2545295009</v>
      </c>
      <c r="H44" s="17">
        <f t="shared" si="7"/>
        <v>0</v>
      </c>
      <c r="I44" s="17">
        <f t="shared" si="7"/>
        <v>0</v>
      </c>
      <c r="J44" s="17">
        <f t="shared" si="7"/>
        <v>0</v>
      </c>
      <c r="K44" s="17">
        <f t="shared" si="7"/>
        <v>0</v>
      </c>
      <c r="L44" s="17">
        <f t="shared" si="7"/>
        <v>0</v>
      </c>
      <c r="M44" s="17">
        <f t="shared" si="7"/>
        <v>0</v>
      </c>
      <c r="N44" s="17">
        <f t="shared" si="7"/>
        <v>0</v>
      </c>
      <c r="O44" s="17">
        <f t="shared" si="7"/>
        <v>0</v>
      </c>
    </row>
    <row r="45" spans="1:15" ht="14.45" x14ac:dyDescent="0.3">
      <c r="A45" s="14">
        <f t="shared" si="9"/>
        <v>38</v>
      </c>
      <c r="B45" s="14">
        <f t="shared" si="9"/>
        <v>78</v>
      </c>
      <c r="C45" s="38">
        <f t="shared" si="8"/>
        <v>2.1222987924018186</v>
      </c>
      <c r="E45" s="17" t="str">
        <f t="shared" ref="E45:E76" ca="1" si="10">+IF(expiredLicense,"LOCKED",SUM(F45:O45))</f>
        <v>LOCKED</v>
      </c>
      <c r="F45" s="17">
        <f t="shared" si="7"/>
        <v>0</v>
      </c>
      <c r="G45" s="17">
        <f t="shared" si="7"/>
        <v>106114.93962009093</v>
      </c>
      <c r="H45" s="17">
        <f t="shared" si="7"/>
        <v>0</v>
      </c>
      <c r="I45" s="17">
        <f t="shared" si="7"/>
        <v>0</v>
      </c>
      <c r="J45" s="17">
        <f t="shared" si="7"/>
        <v>0</v>
      </c>
      <c r="K45" s="17">
        <f t="shared" si="7"/>
        <v>0</v>
      </c>
      <c r="L45" s="17">
        <f t="shared" si="7"/>
        <v>0</v>
      </c>
      <c r="M45" s="17">
        <f t="shared" si="7"/>
        <v>0</v>
      </c>
      <c r="N45" s="17">
        <f t="shared" si="7"/>
        <v>0</v>
      </c>
      <c r="O45" s="17">
        <f t="shared" si="7"/>
        <v>0</v>
      </c>
    </row>
    <row r="46" spans="1:15" ht="14.45" x14ac:dyDescent="0.3">
      <c r="A46" s="14">
        <f t="shared" si="9"/>
        <v>39</v>
      </c>
      <c r="B46" s="14">
        <f t="shared" si="9"/>
        <v>79</v>
      </c>
      <c r="C46" s="38">
        <f t="shared" si="8"/>
        <v>2.1647447682498542</v>
      </c>
      <c r="E46" s="17" t="str">
        <f t="shared" ca="1" si="10"/>
        <v>LOCKED</v>
      </c>
      <c r="F46" s="17">
        <f t="shared" si="7"/>
        <v>0</v>
      </c>
      <c r="G46" s="17">
        <f t="shared" si="7"/>
        <v>108237.2384124927</v>
      </c>
      <c r="H46" s="17">
        <f t="shared" si="7"/>
        <v>0</v>
      </c>
      <c r="I46" s="17">
        <f t="shared" si="7"/>
        <v>0</v>
      </c>
      <c r="J46" s="17">
        <f t="shared" si="7"/>
        <v>0</v>
      </c>
      <c r="K46" s="17">
        <f t="shared" si="7"/>
        <v>0</v>
      </c>
      <c r="L46" s="17">
        <f t="shared" si="7"/>
        <v>0</v>
      </c>
      <c r="M46" s="17">
        <f t="shared" si="7"/>
        <v>0</v>
      </c>
      <c r="N46" s="17">
        <f t="shared" si="7"/>
        <v>0</v>
      </c>
      <c r="O46" s="17">
        <f t="shared" si="7"/>
        <v>0</v>
      </c>
    </row>
    <row r="47" spans="1:15" ht="14.45" x14ac:dyDescent="0.3">
      <c r="A47" s="14">
        <f t="shared" si="9"/>
        <v>40</v>
      </c>
      <c r="B47" s="14">
        <f t="shared" si="9"/>
        <v>80</v>
      </c>
      <c r="C47" s="38">
        <f t="shared" si="8"/>
        <v>2.2080396636148518</v>
      </c>
      <c r="E47" s="17" t="str">
        <f t="shared" ca="1" si="10"/>
        <v>LOCKED</v>
      </c>
      <c r="F47" s="17">
        <f t="shared" si="7"/>
        <v>0</v>
      </c>
      <c r="G47" s="17">
        <f t="shared" si="7"/>
        <v>110401.98318074259</v>
      </c>
      <c r="H47" s="17">
        <f t="shared" si="7"/>
        <v>0</v>
      </c>
      <c r="I47" s="17">
        <f t="shared" si="7"/>
        <v>0</v>
      </c>
      <c r="J47" s="17">
        <f t="shared" si="7"/>
        <v>0</v>
      </c>
      <c r="K47" s="17">
        <f t="shared" si="7"/>
        <v>0</v>
      </c>
      <c r="L47" s="17">
        <f t="shared" si="7"/>
        <v>0</v>
      </c>
      <c r="M47" s="17">
        <f t="shared" si="7"/>
        <v>0</v>
      </c>
      <c r="N47" s="17">
        <f t="shared" si="7"/>
        <v>0</v>
      </c>
      <c r="O47" s="17">
        <f t="shared" si="7"/>
        <v>0</v>
      </c>
    </row>
    <row r="48" spans="1:15" ht="14.45" x14ac:dyDescent="0.3">
      <c r="A48" s="14">
        <f t="shared" si="9"/>
        <v>41</v>
      </c>
      <c r="B48" s="14">
        <f t="shared" si="9"/>
        <v>81</v>
      </c>
      <c r="C48" s="38">
        <f t="shared" si="8"/>
        <v>2.2522004568871488</v>
      </c>
      <c r="E48" s="17" t="str">
        <f t="shared" ca="1" si="10"/>
        <v>LOCKED</v>
      </c>
      <c r="F48" s="17">
        <f t="shared" ref="F48:O57" si="11">IF(OR($B48&gt;F$5,$B48&lt;F$4),0,F$2*(1+inflation+F$3)^$A48)</f>
        <v>0</v>
      </c>
      <c r="G48" s="17">
        <f t="shared" si="11"/>
        <v>112610.02284435745</v>
      </c>
      <c r="H48" s="17">
        <f t="shared" si="11"/>
        <v>0</v>
      </c>
      <c r="I48" s="17">
        <f t="shared" si="11"/>
        <v>0</v>
      </c>
      <c r="J48" s="17">
        <f t="shared" si="11"/>
        <v>0</v>
      </c>
      <c r="K48" s="17">
        <f t="shared" si="11"/>
        <v>0</v>
      </c>
      <c r="L48" s="17">
        <f t="shared" si="11"/>
        <v>0</v>
      </c>
      <c r="M48" s="17">
        <f t="shared" si="11"/>
        <v>0</v>
      </c>
      <c r="N48" s="17">
        <f t="shared" si="11"/>
        <v>0</v>
      </c>
      <c r="O48" s="17">
        <f t="shared" si="11"/>
        <v>0</v>
      </c>
    </row>
    <row r="49" spans="1:15" ht="14.45" x14ac:dyDescent="0.3">
      <c r="A49" s="14">
        <f t="shared" si="9"/>
        <v>42</v>
      </c>
      <c r="B49" s="14">
        <f t="shared" si="9"/>
        <v>82</v>
      </c>
      <c r="C49" s="38">
        <f t="shared" si="8"/>
        <v>2.2972444660248916</v>
      </c>
      <c r="E49" s="17" t="str">
        <f t="shared" ca="1" si="10"/>
        <v>LOCKED</v>
      </c>
      <c r="F49" s="17">
        <f t="shared" si="11"/>
        <v>0</v>
      </c>
      <c r="G49" s="17">
        <f t="shared" si="11"/>
        <v>114862.22330124458</v>
      </c>
      <c r="H49" s="17">
        <f t="shared" si="11"/>
        <v>0</v>
      </c>
      <c r="I49" s="17">
        <f t="shared" si="11"/>
        <v>0</v>
      </c>
      <c r="J49" s="17">
        <f t="shared" si="11"/>
        <v>0</v>
      </c>
      <c r="K49" s="17">
        <f t="shared" si="11"/>
        <v>0</v>
      </c>
      <c r="L49" s="17">
        <f t="shared" si="11"/>
        <v>0</v>
      </c>
      <c r="M49" s="17">
        <f t="shared" si="11"/>
        <v>0</v>
      </c>
      <c r="N49" s="17">
        <f t="shared" si="11"/>
        <v>0</v>
      </c>
      <c r="O49" s="17">
        <f t="shared" si="11"/>
        <v>0</v>
      </c>
    </row>
    <row r="50" spans="1:15" ht="14.45" x14ac:dyDescent="0.3">
      <c r="A50" s="14">
        <f t="shared" si="9"/>
        <v>43</v>
      </c>
      <c r="B50" s="14">
        <f t="shared" si="9"/>
        <v>83</v>
      </c>
      <c r="C50" s="38">
        <f t="shared" si="8"/>
        <v>2.3431893553453893</v>
      </c>
      <c r="E50" s="17" t="str">
        <f t="shared" ca="1" si="10"/>
        <v>LOCKED</v>
      </c>
      <c r="F50" s="17">
        <f t="shared" si="11"/>
        <v>0</v>
      </c>
      <c r="G50" s="17">
        <f t="shared" si="11"/>
        <v>117159.46776726947</v>
      </c>
      <c r="H50" s="17">
        <f t="shared" si="11"/>
        <v>0</v>
      </c>
      <c r="I50" s="17">
        <f t="shared" si="11"/>
        <v>0</v>
      </c>
      <c r="J50" s="17">
        <f t="shared" si="11"/>
        <v>0</v>
      </c>
      <c r="K50" s="17">
        <f t="shared" si="11"/>
        <v>0</v>
      </c>
      <c r="L50" s="17">
        <f t="shared" si="11"/>
        <v>0</v>
      </c>
      <c r="M50" s="17">
        <f t="shared" si="11"/>
        <v>0</v>
      </c>
      <c r="N50" s="17">
        <f t="shared" si="11"/>
        <v>0</v>
      </c>
      <c r="O50" s="17">
        <f t="shared" si="11"/>
        <v>0</v>
      </c>
    </row>
    <row r="51" spans="1:15" ht="14.45" x14ac:dyDescent="0.3">
      <c r="A51" s="14">
        <f t="shared" si="9"/>
        <v>44</v>
      </c>
      <c r="B51" s="14">
        <f t="shared" si="9"/>
        <v>84</v>
      </c>
      <c r="C51" s="38">
        <f t="shared" si="8"/>
        <v>2.3900531424522975</v>
      </c>
      <c r="E51" s="17" t="str">
        <f t="shared" ca="1" si="10"/>
        <v>LOCKED</v>
      </c>
      <c r="F51" s="17">
        <f t="shared" si="11"/>
        <v>0</v>
      </c>
      <c r="G51" s="17">
        <f t="shared" si="11"/>
        <v>119502.65712261488</v>
      </c>
      <c r="H51" s="17">
        <f t="shared" si="11"/>
        <v>0</v>
      </c>
      <c r="I51" s="17">
        <f t="shared" si="11"/>
        <v>0</v>
      </c>
      <c r="J51" s="17">
        <f t="shared" si="11"/>
        <v>0</v>
      </c>
      <c r="K51" s="17">
        <f t="shared" si="11"/>
        <v>0</v>
      </c>
      <c r="L51" s="17">
        <f t="shared" si="11"/>
        <v>0</v>
      </c>
      <c r="M51" s="17">
        <f t="shared" si="11"/>
        <v>0</v>
      </c>
      <c r="N51" s="17">
        <f t="shared" si="11"/>
        <v>0</v>
      </c>
      <c r="O51" s="17">
        <f t="shared" si="11"/>
        <v>0</v>
      </c>
    </row>
    <row r="52" spans="1:15" ht="14.45" x14ac:dyDescent="0.3">
      <c r="A52" s="14">
        <f t="shared" si="9"/>
        <v>45</v>
      </c>
      <c r="B52" s="14">
        <f t="shared" si="9"/>
        <v>85</v>
      </c>
      <c r="C52" s="38">
        <f t="shared" si="8"/>
        <v>2.4378542053013432</v>
      </c>
      <c r="E52" s="17" t="str">
        <f t="shared" ca="1" si="10"/>
        <v>LOCKED</v>
      </c>
      <c r="F52" s="17">
        <f t="shared" si="11"/>
        <v>0</v>
      </c>
      <c r="G52" s="17">
        <f t="shared" si="11"/>
        <v>121892.71026506716</v>
      </c>
      <c r="H52" s="17">
        <f t="shared" si="11"/>
        <v>0</v>
      </c>
      <c r="I52" s="17">
        <f t="shared" si="11"/>
        <v>0</v>
      </c>
      <c r="J52" s="17">
        <f t="shared" si="11"/>
        <v>0</v>
      </c>
      <c r="K52" s="17">
        <f t="shared" si="11"/>
        <v>0</v>
      </c>
      <c r="L52" s="17">
        <f t="shared" si="11"/>
        <v>0</v>
      </c>
      <c r="M52" s="17">
        <f t="shared" si="11"/>
        <v>0</v>
      </c>
      <c r="N52" s="17">
        <f t="shared" si="11"/>
        <v>0</v>
      </c>
      <c r="O52" s="17">
        <f t="shared" si="11"/>
        <v>0</v>
      </c>
    </row>
    <row r="53" spans="1:15" ht="14.45" x14ac:dyDescent="0.3">
      <c r="A53" s="14">
        <f t="shared" si="9"/>
        <v>46</v>
      </c>
      <c r="B53" s="14">
        <f t="shared" si="9"/>
        <v>86</v>
      </c>
      <c r="C53" s="38">
        <f t="shared" si="8"/>
        <v>2.4866112894073704</v>
      </c>
      <c r="E53" s="17" t="str">
        <f t="shared" ca="1" si="10"/>
        <v>LOCKED</v>
      </c>
      <c r="F53" s="17">
        <f t="shared" si="11"/>
        <v>0</v>
      </c>
      <c r="G53" s="17">
        <f t="shared" si="11"/>
        <v>124330.56447036852</v>
      </c>
      <c r="H53" s="17">
        <f t="shared" si="11"/>
        <v>0</v>
      </c>
      <c r="I53" s="17">
        <f t="shared" si="11"/>
        <v>0</v>
      </c>
      <c r="J53" s="17">
        <f t="shared" si="11"/>
        <v>0</v>
      </c>
      <c r="K53" s="17">
        <f t="shared" si="11"/>
        <v>0</v>
      </c>
      <c r="L53" s="17">
        <f t="shared" si="11"/>
        <v>0</v>
      </c>
      <c r="M53" s="17">
        <f t="shared" si="11"/>
        <v>0</v>
      </c>
      <c r="N53" s="17">
        <f t="shared" si="11"/>
        <v>0</v>
      </c>
      <c r="O53" s="17">
        <f t="shared" si="11"/>
        <v>0</v>
      </c>
    </row>
    <row r="54" spans="1:15" ht="14.45" x14ac:dyDescent="0.3">
      <c r="A54" s="14">
        <f t="shared" si="9"/>
        <v>47</v>
      </c>
      <c r="B54" s="14">
        <f t="shared" si="9"/>
        <v>87</v>
      </c>
      <c r="C54" s="38">
        <f t="shared" si="8"/>
        <v>2.5363435151955169</v>
      </c>
      <c r="E54" s="17" t="str">
        <f t="shared" ca="1" si="10"/>
        <v>LOCKED</v>
      </c>
      <c r="F54" s="17">
        <f t="shared" si="11"/>
        <v>0</v>
      </c>
      <c r="G54" s="17">
        <f t="shared" si="11"/>
        <v>126817.17575977584</v>
      </c>
      <c r="H54" s="17">
        <f t="shared" si="11"/>
        <v>0</v>
      </c>
      <c r="I54" s="17">
        <f t="shared" si="11"/>
        <v>0</v>
      </c>
      <c r="J54" s="17">
        <f t="shared" si="11"/>
        <v>0</v>
      </c>
      <c r="K54" s="17">
        <f t="shared" si="11"/>
        <v>0</v>
      </c>
      <c r="L54" s="17">
        <f t="shared" si="11"/>
        <v>0</v>
      </c>
      <c r="M54" s="17">
        <f t="shared" si="11"/>
        <v>0</v>
      </c>
      <c r="N54" s="17">
        <f t="shared" si="11"/>
        <v>0</v>
      </c>
      <c r="O54" s="17">
        <f t="shared" si="11"/>
        <v>0</v>
      </c>
    </row>
    <row r="55" spans="1:15" ht="14.45" x14ac:dyDescent="0.3">
      <c r="A55" s="14">
        <f t="shared" si="9"/>
        <v>48</v>
      </c>
      <c r="B55" s="14">
        <f t="shared" si="9"/>
        <v>88</v>
      </c>
      <c r="C55" s="38">
        <f t="shared" si="8"/>
        <v>2.5870703854994277</v>
      </c>
      <c r="E55" s="17" t="str">
        <f t="shared" ca="1" si="10"/>
        <v>LOCKED</v>
      </c>
      <c r="F55" s="17">
        <f t="shared" si="11"/>
        <v>0</v>
      </c>
      <c r="G55" s="17">
        <f t="shared" si="11"/>
        <v>129353.51927497139</v>
      </c>
      <c r="H55" s="17">
        <f t="shared" si="11"/>
        <v>0</v>
      </c>
      <c r="I55" s="17">
        <f t="shared" si="11"/>
        <v>0</v>
      </c>
      <c r="J55" s="17">
        <f t="shared" si="11"/>
        <v>0</v>
      </c>
      <c r="K55" s="17">
        <f t="shared" si="11"/>
        <v>0</v>
      </c>
      <c r="L55" s="17">
        <f t="shared" si="11"/>
        <v>0</v>
      </c>
      <c r="M55" s="17">
        <f t="shared" si="11"/>
        <v>0</v>
      </c>
      <c r="N55" s="17">
        <f t="shared" si="11"/>
        <v>0</v>
      </c>
      <c r="O55" s="17">
        <f t="shared" si="11"/>
        <v>0</v>
      </c>
    </row>
    <row r="56" spans="1:15" ht="14.45" x14ac:dyDescent="0.3">
      <c r="A56" s="14">
        <f t="shared" si="9"/>
        <v>49</v>
      </c>
      <c r="B56" s="14">
        <f t="shared" si="9"/>
        <v>89</v>
      </c>
      <c r="C56" s="38">
        <f t="shared" si="8"/>
        <v>2.6388117932094164</v>
      </c>
      <c r="E56" s="17" t="str">
        <f t="shared" ca="1" si="10"/>
        <v>LOCKED</v>
      </c>
      <c r="F56" s="17">
        <f t="shared" si="11"/>
        <v>0</v>
      </c>
      <c r="G56" s="17">
        <f t="shared" si="11"/>
        <v>131940.58966047081</v>
      </c>
      <c r="H56" s="17">
        <f t="shared" si="11"/>
        <v>0</v>
      </c>
      <c r="I56" s="17">
        <f t="shared" si="11"/>
        <v>0</v>
      </c>
      <c r="J56" s="17">
        <f t="shared" si="11"/>
        <v>0</v>
      </c>
      <c r="K56" s="17">
        <f t="shared" si="11"/>
        <v>0</v>
      </c>
      <c r="L56" s="17">
        <f t="shared" si="11"/>
        <v>0</v>
      </c>
      <c r="M56" s="17">
        <f t="shared" si="11"/>
        <v>0</v>
      </c>
      <c r="N56" s="17">
        <f t="shared" si="11"/>
        <v>0</v>
      </c>
      <c r="O56" s="17">
        <f t="shared" si="11"/>
        <v>0</v>
      </c>
    </row>
    <row r="57" spans="1:15" ht="14.45" x14ac:dyDescent="0.3">
      <c r="A57" s="14">
        <f t="shared" ref="A57:B72" si="12">+A56+1</f>
        <v>50</v>
      </c>
      <c r="B57" s="14">
        <f t="shared" si="12"/>
        <v>90</v>
      </c>
      <c r="C57" s="38">
        <f t="shared" si="8"/>
        <v>2.6915880290736047</v>
      </c>
      <c r="E57" s="17" t="str">
        <f t="shared" ca="1" si="10"/>
        <v>LOCKED</v>
      </c>
      <c r="F57" s="17">
        <f t="shared" si="11"/>
        <v>0</v>
      </c>
      <c r="G57" s="17">
        <f t="shared" si="11"/>
        <v>134579.40145368024</v>
      </c>
      <c r="H57" s="17">
        <f t="shared" si="11"/>
        <v>0</v>
      </c>
      <c r="I57" s="17">
        <f t="shared" si="11"/>
        <v>0</v>
      </c>
      <c r="J57" s="17">
        <f t="shared" si="11"/>
        <v>0</v>
      </c>
      <c r="K57" s="17">
        <f t="shared" si="11"/>
        <v>0</v>
      </c>
      <c r="L57" s="17">
        <f t="shared" si="11"/>
        <v>0</v>
      </c>
      <c r="M57" s="17">
        <f t="shared" si="11"/>
        <v>0</v>
      </c>
      <c r="N57" s="17">
        <f t="shared" si="11"/>
        <v>0</v>
      </c>
      <c r="O57" s="17">
        <f t="shared" si="11"/>
        <v>0</v>
      </c>
    </row>
    <row r="58" spans="1:15" ht="14.45" x14ac:dyDescent="0.3">
      <c r="A58" s="14">
        <f t="shared" si="12"/>
        <v>51</v>
      </c>
      <c r="B58" s="14">
        <f t="shared" si="12"/>
        <v>91</v>
      </c>
      <c r="C58" s="38">
        <f t="shared" si="8"/>
        <v>2.7454197896550765</v>
      </c>
      <c r="E58" s="17" t="str">
        <f t="shared" ca="1" si="10"/>
        <v>LOCKED</v>
      </c>
      <c r="F58" s="17">
        <f t="shared" ref="F58:O67" si="13">IF(OR($B58&gt;F$5,$B58&lt;F$4),0,F$2*(1+inflation+F$3)^$A58)</f>
        <v>0</v>
      </c>
      <c r="G58" s="17">
        <f t="shared" si="13"/>
        <v>137270.98948275382</v>
      </c>
      <c r="H58" s="17">
        <f t="shared" si="13"/>
        <v>0</v>
      </c>
      <c r="I58" s="17">
        <f t="shared" si="13"/>
        <v>0</v>
      </c>
      <c r="J58" s="17">
        <f t="shared" si="13"/>
        <v>0</v>
      </c>
      <c r="K58" s="17">
        <f t="shared" si="13"/>
        <v>0</v>
      </c>
      <c r="L58" s="17">
        <f t="shared" si="13"/>
        <v>0</v>
      </c>
      <c r="M58" s="17">
        <f t="shared" si="13"/>
        <v>0</v>
      </c>
      <c r="N58" s="17">
        <f t="shared" si="13"/>
        <v>0</v>
      </c>
      <c r="O58" s="17">
        <f t="shared" si="13"/>
        <v>0</v>
      </c>
    </row>
    <row r="59" spans="1:15" x14ac:dyDescent="0.25">
      <c r="A59" s="14">
        <f t="shared" si="12"/>
        <v>52</v>
      </c>
      <c r="B59" s="14">
        <f t="shared" si="12"/>
        <v>92</v>
      </c>
      <c r="C59" s="38">
        <f t="shared" si="8"/>
        <v>2.8003281854481785</v>
      </c>
      <c r="E59" s="17" t="str">
        <f t="shared" ca="1" si="10"/>
        <v>LOCKED</v>
      </c>
      <c r="F59" s="17">
        <f t="shared" si="13"/>
        <v>0</v>
      </c>
      <c r="G59" s="17">
        <f t="shared" si="13"/>
        <v>140016.40927240893</v>
      </c>
      <c r="H59" s="17">
        <f t="shared" si="13"/>
        <v>0</v>
      </c>
      <c r="I59" s="17">
        <f t="shared" si="13"/>
        <v>0</v>
      </c>
      <c r="J59" s="17">
        <f t="shared" si="13"/>
        <v>0</v>
      </c>
      <c r="K59" s="17">
        <f t="shared" si="13"/>
        <v>0</v>
      </c>
      <c r="L59" s="17">
        <f t="shared" si="13"/>
        <v>0</v>
      </c>
      <c r="M59" s="17">
        <f t="shared" si="13"/>
        <v>0</v>
      </c>
      <c r="N59" s="17">
        <f t="shared" si="13"/>
        <v>0</v>
      </c>
      <c r="O59" s="17">
        <f t="shared" si="13"/>
        <v>0</v>
      </c>
    </row>
    <row r="60" spans="1:15" x14ac:dyDescent="0.25">
      <c r="A60" s="14">
        <f t="shared" si="12"/>
        <v>53</v>
      </c>
      <c r="B60" s="14">
        <f t="shared" si="12"/>
        <v>93</v>
      </c>
      <c r="C60" s="38">
        <f t="shared" si="8"/>
        <v>2.8563347491571416</v>
      </c>
      <c r="E60" s="17" t="str">
        <f t="shared" ca="1" si="10"/>
        <v>LOCKED</v>
      </c>
      <c r="F60" s="17">
        <f t="shared" si="13"/>
        <v>0</v>
      </c>
      <c r="G60" s="17">
        <f t="shared" si="13"/>
        <v>142816.73745785709</v>
      </c>
      <c r="H60" s="17">
        <f t="shared" si="13"/>
        <v>0</v>
      </c>
      <c r="I60" s="17">
        <f t="shared" si="13"/>
        <v>0</v>
      </c>
      <c r="J60" s="17">
        <f t="shared" si="13"/>
        <v>0</v>
      </c>
      <c r="K60" s="17">
        <f t="shared" si="13"/>
        <v>0</v>
      </c>
      <c r="L60" s="17">
        <f t="shared" si="13"/>
        <v>0</v>
      </c>
      <c r="M60" s="17">
        <f t="shared" si="13"/>
        <v>0</v>
      </c>
      <c r="N60" s="17">
        <f t="shared" si="13"/>
        <v>0</v>
      </c>
      <c r="O60" s="17">
        <f t="shared" si="13"/>
        <v>0</v>
      </c>
    </row>
    <row r="61" spans="1:15" x14ac:dyDescent="0.25">
      <c r="A61" s="14">
        <f t="shared" si="12"/>
        <v>54</v>
      </c>
      <c r="B61" s="14">
        <f t="shared" si="12"/>
        <v>94</v>
      </c>
      <c r="C61" s="38">
        <f t="shared" si="8"/>
        <v>2.9134614441402849</v>
      </c>
      <c r="E61" s="17" t="str">
        <f t="shared" ca="1" si="10"/>
        <v>LOCKED</v>
      </c>
      <c r="F61" s="17">
        <f t="shared" si="13"/>
        <v>0</v>
      </c>
      <c r="G61" s="17">
        <f t="shared" si="13"/>
        <v>145673.07220701425</v>
      </c>
      <c r="H61" s="17">
        <f t="shared" si="13"/>
        <v>0</v>
      </c>
      <c r="I61" s="17">
        <f t="shared" si="13"/>
        <v>0</v>
      </c>
      <c r="J61" s="17">
        <f t="shared" si="13"/>
        <v>0</v>
      </c>
      <c r="K61" s="17">
        <f t="shared" si="13"/>
        <v>0</v>
      </c>
      <c r="L61" s="17">
        <f t="shared" si="13"/>
        <v>0</v>
      </c>
      <c r="M61" s="17">
        <f t="shared" si="13"/>
        <v>0</v>
      </c>
      <c r="N61" s="17">
        <f t="shared" si="13"/>
        <v>0</v>
      </c>
      <c r="O61" s="17">
        <f t="shared" si="13"/>
        <v>0</v>
      </c>
    </row>
    <row r="62" spans="1:15" x14ac:dyDescent="0.25">
      <c r="A62" s="14">
        <f t="shared" si="12"/>
        <v>55</v>
      </c>
      <c r="B62" s="14">
        <f t="shared" si="12"/>
        <v>95</v>
      </c>
      <c r="C62" s="38">
        <f t="shared" si="8"/>
        <v>2.9717306730230897</v>
      </c>
      <c r="E62" s="17" t="str">
        <f t="shared" ca="1" si="10"/>
        <v>LOCKED</v>
      </c>
      <c r="F62" s="17">
        <f t="shared" si="13"/>
        <v>0</v>
      </c>
      <c r="G62" s="17">
        <f t="shared" si="13"/>
        <v>148586.53365115449</v>
      </c>
      <c r="H62" s="17">
        <f t="shared" si="13"/>
        <v>0</v>
      </c>
      <c r="I62" s="17">
        <f t="shared" si="13"/>
        <v>0</v>
      </c>
      <c r="J62" s="17">
        <f t="shared" si="13"/>
        <v>0</v>
      </c>
      <c r="K62" s="17">
        <f t="shared" si="13"/>
        <v>0</v>
      </c>
      <c r="L62" s="17">
        <f t="shared" si="13"/>
        <v>0</v>
      </c>
      <c r="M62" s="17">
        <f t="shared" si="13"/>
        <v>0</v>
      </c>
      <c r="N62" s="17">
        <f t="shared" si="13"/>
        <v>0</v>
      </c>
      <c r="O62" s="17">
        <f t="shared" si="13"/>
        <v>0</v>
      </c>
    </row>
    <row r="63" spans="1:15" x14ac:dyDescent="0.25">
      <c r="A63" s="14">
        <f t="shared" si="12"/>
        <v>56</v>
      </c>
      <c r="B63" s="14">
        <f t="shared" si="12"/>
        <v>96</v>
      </c>
      <c r="C63" s="38">
        <f t="shared" si="8"/>
        <v>3.0311652864835517</v>
      </c>
      <c r="E63" s="17" t="str">
        <f t="shared" ca="1" si="10"/>
        <v>LOCKED</v>
      </c>
      <c r="F63" s="17">
        <f t="shared" si="13"/>
        <v>0</v>
      </c>
      <c r="G63" s="17">
        <f t="shared" si="13"/>
        <v>151558.26432417758</v>
      </c>
      <c r="H63" s="17">
        <f t="shared" si="13"/>
        <v>0</v>
      </c>
      <c r="I63" s="17">
        <f t="shared" si="13"/>
        <v>0</v>
      </c>
      <c r="J63" s="17">
        <f t="shared" si="13"/>
        <v>0</v>
      </c>
      <c r="K63" s="17">
        <f t="shared" si="13"/>
        <v>0</v>
      </c>
      <c r="L63" s="17">
        <f t="shared" si="13"/>
        <v>0</v>
      </c>
      <c r="M63" s="17">
        <f t="shared" si="13"/>
        <v>0</v>
      </c>
      <c r="N63" s="17">
        <f t="shared" si="13"/>
        <v>0</v>
      </c>
      <c r="O63" s="17">
        <f t="shared" si="13"/>
        <v>0</v>
      </c>
    </row>
    <row r="64" spans="1:15" x14ac:dyDescent="0.25">
      <c r="A64" s="14">
        <f t="shared" si="12"/>
        <v>57</v>
      </c>
      <c r="B64" s="14">
        <f t="shared" si="12"/>
        <v>97</v>
      </c>
      <c r="C64" s="38">
        <f t="shared" si="8"/>
        <v>3.0917885922132227</v>
      </c>
      <c r="E64" s="17" t="str">
        <f t="shared" ca="1" si="10"/>
        <v>LOCKED</v>
      </c>
      <c r="F64" s="17">
        <f t="shared" si="13"/>
        <v>0</v>
      </c>
      <c r="G64" s="17">
        <f t="shared" si="13"/>
        <v>154589.42961066114</v>
      </c>
      <c r="H64" s="17">
        <f t="shared" si="13"/>
        <v>0</v>
      </c>
      <c r="I64" s="17">
        <f t="shared" si="13"/>
        <v>0</v>
      </c>
      <c r="J64" s="17">
        <f t="shared" si="13"/>
        <v>0</v>
      </c>
      <c r="K64" s="17">
        <f t="shared" si="13"/>
        <v>0</v>
      </c>
      <c r="L64" s="17">
        <f t="shared" si="13"/>
        <v>0</v>
      </c>
      <c r="M64" s="17">
        <f t="shared" si="13"/>
        <v>0</v>
      </c>
      <c r="N64" s="17">
        <f t="shared" si="13"/>
        <v>0</v>
      </c>
      <c r="O64" s="17">
        <f t="shared" si="13"/>
        <v>0</v>
      </c>
    </row>
    <row r="65" spans="1:15" x14ac:dyDescent="0.25">
      <c r="A65" s="14">
        <f t="shared" si="12"/>
        <v>58</v>
      </c>
      <c r="B65" s="14">
        <f t="shared" si="12"/>
        <v>98</v>
      </c>
      <c r="C65" s="38">
        <f t="shared" si="8"/>
        <v>3.1536243640574875</v>
      </c>
      <c r="E65" s="17" t="str">
        <f t="shared" ca="1" si="10"/>
        <v>LOCKED</v>
      </c>
      <c r="F65" s="17">
        <f t="shared" si="13"/>
        <v>0</v>
      </c>
      <c r="G65" s="17">
        <f t="shared" si="13"/>
        <v>157681.21820287438</v>
      </c>
      <c r="H65" s="17">
        <f t="shared" si="13"/>
        <v>0</v>
      </c>
      <c r="I65" s="17">
        <f t="shared" si="13"/>
        <v>0</v>
      </c>
      <c r="J65" s="17">
        <f t="shared" si="13"/>
        <v>0</v>
      </c>
      <c r="K65" s="17">
        <f t="shared" si="13"/>
        <v>0</v>
      </c>
      <c r="L65" s="17">
        <f t="shared" si="13"/>
        <v>0</v>
      </c>
      <c r="M65" s="17">
        <f t="shared" si="13"/>
        <v>0</v>
      </c>
      <c r="N65" s="17">
        <f t="shared" si="13"/>
        <v>0</v>
      </c>
      <c r="O65" s="17">
        <f t="shared" si="13"/>
        <v>0</v>
      </c>
    </row>
    <row r="66" spans="1:15" x14ac:dyDescent="0.25">
      <c r="A66" s="14">
        <f t="shared" si="12"/>
        <v>59</v>
      </c>
      <c r="B66" s="14">
        <f t="shared" si="12"/>
        <v>99</v>
      </c>
      <c r="C66" s="38">
        <f t="shared" si="8"/>
        <v>3.2166968513386367</v>
      </c>
      <c r="E66" s="17" t="str">
        <f t="shared" ca="1" si="10"/>
        <v>LOCKED</v>
      </c>
      <c r="F66" s="17">
        <f t="shared" si="13"/>
        <v>0</v>
      </c>
      <c r="G66" s="17">
        <f t="shared" si="13"/>
        <v>160834.84256693182</v>
      </c>
      <c r="H66" s="17">
        <f t="shared" si="13"/>
        <v>0</v>
      </c>
      <c r="I66" s="17">
        <f t="shared" si="13"/>
        <v>0</v>
      </c>
      <c r="J66" s="17">
        <f t="shared" si="13"/>
        <v>0</v>
      </c>
      <c r="K66" s="17">
        <f t="shared" si="13"/>
        <v>0</v>
      </c>
      <c r="L66" s="17">
        <f t="shared" si="13"/>
        <v>0</v>
      </c>
      <c r="M66" s="17">
        <f t="shared" si="13"/>
        <v>0</v>
      </c>
      <c r="N66" s="17">
        <f t="shared" si="13"/>
        <v>0</v>
      </c>
      <c r="O66" s="17">
        <f t="shared" si="13"/>
        <v>0</v>
      </c>
    </row>
    <row r="67" spans="1:15" x14ac:dyDescent="0.25">
      <c r="A67" s="14">
        <f t="shared" si="12"/>
        <v>60</v>
      </c>
      <c r="B67" s="14">
        <f t="shared" si="12"/>
        <v>100</v>
      </c>
      <c r="C67" s="38">
        <f t="shared" si="8"/>
        <v>3.2810307883654102</v>
      </c>
      <c r="E67" s="17" t="str">
        <f t="shared" ca="1" si="10"/>
        <v>LOCKED</v>
      </c>
      <c r="F67" s="17">
        <f t="shared" si="13"/>
        <v>0</v>
      </c>
      <c r="G67" s="17">
        <f t="shared" si="13"/>
        <v>164051.53941827052</v>
      </c>
      <c r="H67" s="17">
        <f t="shared" si="13"/>
        <v>0</v>
      </c>
      <c r="I67" s="17">
        <f t="shared" si="13"/>
        <v>0</v>
      </c>
      <c r="J67" s="17">
        <f t="shared" si="13"/>
        <v>0</v>
      </c>
      <c r="K67" s="17">
        <f t="shared" si="13"/>
        <v>0</v>
      </c>
      <c r="L67" s="17">
        <f t="shared" si="13"/>
        <v>0</v>
      </c>
      <c r="M67" s="17">
        <f t="shared" si="13"/>
        <v>0</v>
      </c>
      <c r="N67" s="17">
        <f t="shared" si="13"/>
        <v>0</v>
      </c>
      <c r="O67" s="17">
        <f t="shared" si="13"/>
        <v>0</v>
      </c>
    </row>
    <row r="68" spans="1:15" x14ac:dyDescent="0.25">
      <c r="A68" s="14">
        <f t="shared" si="12"/>
        <v>61</v>
      </c>
      <c r="B68" s="14">
        <f t="shared" si="12"/>
        <v>101</v>
      </c>
      <c r="C68" s="38">
        <f t="shared" si="8"/>
        <v>3.346651404132718</v>
      </c>
      <c r="E68" s="17" t="str">
        <f t="shared" ca="1" si="10"/>
        <v>LOCKED</v>
      </c>
      <c r="F68" s="17">
        <f t="shared" ref="F68:O77" si="14">IF(OR($B68&gt;F$5,$B68&lt;F$4),0,F$2*(1+inflation+F$3)^$A68)</f>
        <v>0</v>
      </c>
      <c r="G68" s="17">
        <f t="shared" si="14"/>
        <v>167332.57020663589</v>
      </c>
      <c r="H68" s="17">
        <f t="shared" si="14"/>
        <v>0</v>
      </c>
      <c r="I68" s="17">
        <f t="shared" si="14"/>
        <v>0</v>
      </c>
      <c r="J68" s="17">
        <f t="shared" si="14"/>
        <v>0</v>
      </c>
      <c r="K68" s="17">
        <f t="shared" si="14"/>
        <v>0</v>
      </c>
      <c r="L68" s="17">
        <f t="shared" si="14"/>
        <v>0</v>
      </c>
      <c r="M68" s="17">
        <f t="shared" si="14"/>
        <v>0</v>
      </c>
      <c r="N68" s="17">
        <f t="shared" si="14"/>
        <v>0</v>
      </c>
      <c r="O68" s="17">
        <f t="shared" si="14"/>
        <v>0</v>
      </c>
    </row>
    <row r="69" spans="1:15" x14ac:dyDescent="0.25">
      <c r="A69" s="14">
        <f t="shared" si="12"/>
        <v>62</v>
      </c>
      <c r="B69" s="14">
        <f t="shared" si="12"/>
        <v>102</v>
      </c>
      <c r="C69" s="38">
        <f t="shared" si="8"/>
        <v>3.4135844322153726</v>
      </c>
      <c r="E69" s="17" t="str">
        <f t="shared" ca="1" si="10"/>
        <v>LOCKED</v>
      </c>
      <c r="F69" s="17">
        <f t="shared" si="14"/>
        <v>0</v>
      </c>
      <c r="G69" s="17">
        <f t="shared" si="14"/>
        <v>170679.22161076864</v>
      </c>
      <c r="H69" s="17">
        <f t="shared" si="14"/>
        <v>0</v>
      </c>
      <c r="I69" s="17">
        <f t="shared" si="14"/>
        <v>0</v>
      </c>
      <c r="J69" s="17">
        <f t="shared" si="14"/>
        <v>0</v>
      </c>
      <c r="K69" s="17">
        <f t="shared" si="14"/>
        <v>0</v>
      </c>
      <c r="L69" s="17">
        <f t="shared" si="14"/>
        <v>0</v>
      </c>
      <c r="M69" s="17">
        <f t="shared" si="14"/>
        <v>0</v>
      </c>
      <c r="N69" s="17">
        <f t="shared" si="14"/>
        <v>0</v>
      </c>
      <c r="O69" s="17">
        <f t="shared" si="14"/>
        <v>0</v>
      </c>
    </row>
    <row r="70" spans="1:15" x14ac:dyDescent="0.25">
      <c r="A70" s="14">
        <f t="shared" si="12"/>
        <v>63</v>
      </c>
      <c r="B70" s="14">
        <f t="shared" si="12"/>
        <v>103</v>
      </c>
      <c r="C70" s="38">
        <f t="shared" si="8"/>
        <v>3.4818561208596792</v>
      </c>
      <c r="E70" s="17" t="str">
        <f t="shared" ca="1" si="10"/>
        <v>LOCKED</v>
      </c>
      <c r="F70" s="17">
        <f t="shared" si="14"/>
        <v>0</v>
      </c>
      <c r="G70" s="17">
        <f t="shared" si="14"/>
        <v>174092.80604298395</v>
      </c>
      <c r="H70" s="17">
        <f t="shared" si="14"/>
        <v>0</v>
      </c>
      <c r="I70" s="17">
        <f t="shared" si="14"/>
        <v>0</v>
      </c>
      <c r="J70" s="17">
        <f t="shared" si="14"/>
        <v>0</v>
      </c>
      <c r="K70" s="17">
        <f t="shared" si="14"/>
        <v>0</v>
      </c>
      <c r="L70" s="17">
        <f t="shared" si="14"/>
        <v>0</v>
      </c>
      <c r="M70" s="17">
        <f t="shared" si="14"/>
        <v>0</v>
      </c>
      <c r="N70" s="17">
        <f t="shared" si="14"/>
        <v>0</v>
      </c>
      <c r="O70" s="17">
        <f t="shared" si="14"/>
        <v>0</v>
      </c>
    </row>
    <row r="71" spans="1:15" x14ac:dyDescent="0.25">
      <c r="A71" s="14">
        <f t="shared" si="12"/>
        <v>64</v>
      </c>
      <c r="B71" s="14">
        <f t="shared" si="12"/>
        <v>104</v>
      </c>
      <c r="C71" s="38">
        <f t="shared" ref="C71:C107" si="15">+(1+inflation)^A71</f>
        <v>3.5514932432768735</v>
      </c>
      <c r="E71" s="17" t="str">
        <f t="shared" ca="1" si="10"/>
        <v>LOCKED</v>
      </c>
      <c r="F71" s="17">
        <f t="shared" si="14"/>
        <v>0</v>
      </c>
      <c r="G71" s="17">
        <f t="shared" si="14"/>
        <v>177574.66216384369</v>
      </c>
      <c r="H71" s="17">
        <f t="shared" si="14"/>
        <v>0</v>
      </c>
      <c r="I71" s="17">
        <f t="shared" si="14"/>
        <v>0</v>
      </c>
      <c r="J71" s="17">
        <f t="shared" si="14"/>
        <v>0</v>
      </c>
      <c r="K71" s="17">
        <f t="shared" si="14"/>
        <v>0</v>
      </c>
      <c r="L71" s="17">
        <f t="shared" si="14"/>
        <v>0</v>
      </c>
      <c r="M71" s="17">
        <f t="shared" si="14"/>
        <v>0</v>
      </c>
      <c r="N71" s="17">
        <f t="shared" si="14"/>
        <v>0</v>
      </c>
      <c r="O71" s="17">
        <f t="shared" si="14"/>
        <v>0</v>
      </c>
    </row>
    <row r="72" spans="1:15" x14ac:dyDescent="0.25">
      <c r="A72" s="14">
        <f t="shared" si="12"/>
        <v>65</v>
      </c>
      <c r="B72" s="14">
        <f t="shared" si="12"/>
        <v>105</v>
      </c>
      <c r="C72" s="38">
        <f t="shared" si="15"/>
        <v>3.6225231081424112</v>
      </c>
      <c r="E72" s="17" t="str">
        <f t="shared" ca="1" si="10"/>
        <v>LOCKED</v>
      </c>
      <c r="F72" s="17">
        <f t="shared" si="14"/>
        <v>0</v>
      </c>
      <c r="G72" s="17">
        <f t="shared" si="14"/>
        <v>181126.15540712056</v>
      </c>
      <c r="H72" s="17">
        <f t="shared" si="14"/>
        <v>0</v>
      </c>
      <c r="I72" s="17">
        <f t="shared" si="14"/>
        <v>0</v>
      </c>
      <c r="J72" s="17">
        <f t="shared" si="14"/>
        <v>0</v>
      </c>
      <c r="K72" s="17">
        <f t="shared" si="14"/>
        <v>0</v>
      </c>
      <c r="L72" s="17">
        <f t="shared" si="14"/>
        <v>0</v>
      </c>
      <c r="M72" s="17">
        <f t="shared" si="14"/>
        <v>0</v>
      </c>
      <c r="N72" s="17">
        <f t="shared" si="14"/>
        <v>0</v>
      </c>
      <c r="O72" s="17">
        <f t="shared" si="14"/>
        <v>0</v>
      </c>
    </row>
    <row r="73" spans="1:15" x14ac:dyDescent="0.25">
      <c r="A73" s="14">
        <f t="shared" ref="A73:B88" si="16">+A72+1</f>
        <v>66</v>
      </c>
      <c r="B73" s="14">
        <f t="shared" si="16"/>
        <v>106</v>
      </c>
      <c r="C73" s="38">
        <f t="shared" si="15"/>
        <v>3.6949735703052591</v>
      </c>
      <c r="E73" s="17" t="str">
        <f t="shared" ca="1" si="10"/>
        <v>LOCKED</v>
      </c>
      <c r="F73" s="17">
        <f t="shared" si="14"/>
        <v>0</v>
      </c>
      <c r="G73" s="17">
        <f t="shared" si="14"/>
        <v>184748.67851526296</v>
      </c>
      <c r="H73" s="17">
        <f t="shared" si="14"/>
        <v>0</v>
      </c>
      <c r="I73" s="17">
        <f t="shared" si="14"/>
        <v>0</v>
      </c>
      <c r="J73" s="17">
        <f t="shared" si="14"/>
        <v>0</v>
      </c>
      <c r="K73" s="17">
        <f t="shared" si="14"/>
        <v>0</v>
      </c>
      <c r="L73" s="17">
        <f t="shared" si="14"/>
        <v>0</v>
      </c>
      <c r="M73" s="17">
        <f t="shared" si="14"/>
        <v>0</v>
      </c>
      <c r="N73" s="17">
        <f t="shared" si="14"/>
        <v>0</v>
      </c>
      <c r="O73" s="17">
        <f t="shared" si="14"/>
        <v>0</v>
      </c>
    </row>
    <row r="74" spans="1:15" x14ac:dyDescent="0.25">
      <c r="A74" s="14">
        <f t="shared" si="16"/>
        <v>67</v>
      </c>
      <c r="B74" s="14">
        <f t="shared" si="16"/>
        <v>107</v>
      </c>
      <c r="C74" s="38">
        <f t="shared" si="15"/>
        <v>3.7688730417113643</v>
      </c>
      <c r="E74" s="17" t="str">
        <f t="shared" ca="1" si="10"/>
        <v>LOCKED</v>
      </c>
      <c r="F74" s="17">
        <f t="shared" si="14"/>
        <v>0</v>
      </c>
      <c r="G74" s="17">
        <f t="shared" si="14"/>
        <v>188443.6520855682</v>
      </c>
      <c r="H74" s="17">
        <f t="shared" si="14"/>
        <v>0</v>
      </c>
      <c r="I74" s="17">
        <f t="shared" si="14"/>
        <v>0</v>
      </c>
      <c r="J74" s="17">
        <f t="shared" si="14"/>
        <v>0</v>
      </c>
      <c r="K74" s="17">
        <f t="shared" si="14"/>
        <v>0</v>
      </c>
      <c r="L74" s="17">
        <f t="shared" si="14"/>
        <v>0</v>
      </c>
      <c r="M74" s="17">
        <f t="shared" si="14"/>
        <v>0</v>
      </c>
      <c r="N74" s="17">
        <f t="shared" si="14"/>
        <v>0</v>
      </c>
      <c r="O74" s="17">
        <f t="shared" si="14"/>
        <v>0</v>
      </c>
    </row>
    <row r="75" spans="1:15" x14ac:dyDescent="0.25">
      <c r="A75" s="14">
        <f t="shared" si="16"/>
        <v>68</v>
      </c>
      <c r="B75" s="14">
        <f t="shared" si="16"/>
        <v>108</v>
      </c>
      <c r="C75" s="38">
        <f t="shared" si="15"/>
        <v>3.8442505025455915</v>
      </c>
      <c r="E75" s="17" t="str">
        <f t="shared" ca="1" si="10"/>
        <v>LOCKED</v>
      </c>
      <c r="F75" s="17">
        <f t="shared" si="14"/>
        <v>0</v>
      </c>
      <c r="G75" s="17">
        <f t="shared" si="14"/>
        <v>192212.52512727957</v>
      </c>
      <c r="H75" s="17">
        <f t="shared" si="14"/>
        <v>0</v>
      </c>
      <c r="I75" s="17">
        <f t="shared" si="14"/>
        <v>0</v>
      </c>
      <c r="J75" s="17">
        <f t="shared" si="14"/>
        <v>0</v>
      </c>
      <c r="K75" s="17">
        <f t="shared" si="14"/>
        <v>0</v>
      </c>
      <c r="L75" s="17">
        <f t="shared" si="14"/>
        <v>0</v>
      </c>
      <c r="M75" s="17">
        <f t="shared" si="14"/>
        <v>0</v>
      </c>
      <c r="N75" s="17">
        <f t="shared" si="14"/>
        <v>0</v>
      </c>
      <c r="O75" s="17">
        <f t="shared" si="14"/>
        <v>0</v>
      </c>
    </row>
    <row r="76" spans="1:15" x14ac:dyDescent="0.25">
      <c r="A76" s="14">
        <f t="shared" si="16"/>
        <v>69</v>
      </c>
      <c r="B76" s="14">
        <f t="shared" si="16"/>
        <v>109</v>
      </c>
      <c r="C76" s="38">
        <f t="shared" si="15"/>
        <v>3.9211355125965035</v>
      </c>
      <c r="E76" s="17" t="str">
        <f t="shared" ca="1" si="10"/>
        <v>LOCKED</v>
      </c>
      <c r="F76" s="17">
        <f t="shared" si="14"/>
        <v>0</v>
      </c>
      <c r="G76" s="17">
        <f t="shared" si="14"/>
        <v>196056.77562982516</v>
      </c>
      <c r="H76" s="17">
        <f t="shared" si="14"/>
        <v>0</v>
      </c>
      <c r="I76" s="17">
        <f t="shared" si="14"/>
        <v>0</v>
      </c>
      <c r="J76" s="17">
        <f t="shared" si="14"/>
        <v>0</v>
      </c>
      <c r="K76" s="17">
        <f t="shared" si="14"/>
        <v>0</v>
      </c>
      <c r="L76" s="17">
        <f t="shared" si="14"/>
        <v>0</v>
      </c>
      <c r="M76" s="17">
        <f t="shared" si="14"/>
        <v>0</v>
      </c>
      <c r="N76" s="17">
        <f t="shared" si="14"/>
        <v>0</v>
      </c>
      <c r="O76" s="17">
        <f t="shared" si="14"/>
        <v>0</v>
      </c>
    </row>
    <row r="77" spans="1:15" x14ac:dyDescent="0.25">
      <c r="A77" s="14">
        <f t="shared" si="16"/>
        <v>70</v>
      </c>
      <c r="B77" s="14">
        <f t="shared" si="16"/>
        <v>110</v>
      </c>
      <c r="C77" s="38">
        <f t="shared" si="15"/>
        <v>3.9995582228484339</v>
      </c>
      <c r="E77" s="17" t="str">
        <f t="shared" ref="E77:E107" ca="1" si="17">+IF(expiredLicense,"LOCKED",SUM(F77:O77))</f>
        <v>LOCKED</v>
      </c>
      <c r="F77" s="17">
        <f t="shared" si="14"/>
        <v>0</v>
      </c>
      <c r="G77" s="17">
        <f t="shared" si="14"/>
        <v>199977.91114242168</v>
      </c>
      <c r="H77" s="17">
        <f t="shared" si="14"/>
        <v>0</v>
      </c>
      <c r="I77" s="17">
        <f t="shared" si="14"/>
        <v>0</v>
      </c>
      <c r="J77" s="17">
        <f t="shared" si="14"/>
        <v>0</v>
      </c>
      <c r="K77" s="17">
        <f t="shared" si="14"/>
        <v>0</v>
      </c>
      <c r="L77" s="17">
        <f t="shared" si="14"/>
        <v>0</v>
      </c>
      <c r="M77" s="17">
        <f t="shared" si="14"/>
        <v>0</v>
      </c>
      <c r="N77" s="17">
        <f t="shared" si="14"/>
        <v>0</v>
      </c>
      <c r="O77" s="17">
        <f t="shared" si="14"/>
        <v>0</v>
      </c>
    </row>
    <row r="78" spans="1:15" x14ac:dyDescent="0.25">
      <c r="A78" s="14">
        <f t="shared" si="16"/>
        <v>71</v>
      </c>
      <c r="B78" s="14">
        <f t="shared" si="16"/>
        <v>111</v>
      </c>
      <c r="C78" s="38">
        <f t="shared" si="15"/>
        <v>4.0795493873054021</v>
      </c>
      <c r="E78" s="17" t="str">
        <f t="shared" ca="1" si="17"/>
        <v>LOCKED</v>
      </c>
      <c r="F78" s="17">
        <f t="shared" ref="F78:O87" si="18">IF(OR($B78&gt;F$5,$B78&lt;F$4),0,F$2*(1+inflation+F$3)^$A78)</f>
        <v>0</v>
      </c>
      <c r="G78" s="17">
        <f t="shared" si="18"/>
        <v>203977.46936527011</v>
      </c>
      <c r="H78" s="17">
        <f t="shared" si="18"/>
        <v>0</v>
      </c>
      <c r="I78" s="17">
        <f t="shared" si="18"/>
        <v>0</v>
      </c>
      <c r="J78" s="17">
        <f t="shared" si="18"/>
        <v>0</v>
      </c>
      <c r="K78" s="17">
        <f t="shared" si="18"/>
        <v>0</v>
      </c>
      <c r="L78" s="17">
        <f t="shared" si="18"/>
        <v>0</v>
      </c>
      <c r="M78" s="17">
        <f t="shared" si="18"/>
        <v>0</v>
      </c>
      <c r="N78" s="17">
        <f t="shared" si="18"/>
        <v>0</v>
      </c>
      <c r="O78" s="17">
        <f t="shared" si="18"/>
        <v>0</v>
      </c>
    </row>
    <row r="79" spans="1:15" x14ac:dyDescent="0.25">
      <c r="A79" s="14">
        <f t="shared" si="16"/>
        <v>72</v>
      </c>
      <c r="B79" s="14">
        <f t="shared" si="16"/>
        <v>112</v>
      </c>
      <c r="C79" s="38">
        <f t="shared" si="15"/>
        <v>4.1611403750515104</v>
      </c>
      <c r="E79" s="17" t="str">
        <f t="shared" ca="1" si="17"/>
        <v>LOCKED</v>
      </c>
      <c r="F79" s="17">
        <f t="shared" si="18"/>
        <v>0</v>
      </c>
      <c r="G79" s="17">
        <f t="shared" si="18"/>
        <v>208057.01875257553</v>
      </c>
      <c r="H79" s="17">
        <f t="shared" si="18"/>
        <v>0</v>
      </c>
      <c r="I79" s="17">
        <f t="shared" si="18"/>
        <v>0</v>
      </c>
      <c r="J79" s="17">
        <f t="shared" si="18"/>
        <v>0</v>
      </c>
      <c r="K79" s="17">
        <f t="shared" si="18"/>
        <v>0</v>
      </c>
      <c r="L79" s="17">
        <f t="shared" si="18"/>
        <v>0</v>
      </c>
      <c r="M79" s="17">
        <f t="shared" si="18"/>
        <v>0</v>
      </c>
      <c r="N79" s="17">
        <f t="shared" si="18"/>
        <v>0</v>
      </c>
      <c r="O79" s="17">
        <f t="shared" si="18"/>
        <v>0</v>
      </c>
    </row>
    <row r="80" spans="1:15" x14ac:dyDescent="0.25">
      <c r="A80" s="14">
        <f t="shared" si="16"/>
        <v>73</v>
      </c>
      <c r="B80" s="14">
        <f t="shared" si="16"/>
        <v>113</v>
      </c>
      <c r="C80" s="38">
        <f t="shared" si="15"/>
        <v>4.2443631825525401</v>
      </c>
      <c r="E80" s="17" t="str">
        <f t="shared" ca="1" si="17"/>
        <v>LOCKED</v>
      </c>
      <c r="F80" s="17">
        <f t="shared" si="18"/>
        <v>0</v>
      </c>
      <c r="G80" s="17">
        <f t="shared" si="18"/>
        <v>212218.159127627</v>
      </c>
      <c r="H80" s="17">
        <f t="shared" si="18"/>
        <v>0</v>
      </c>
      <c r="I80" s="17">
        <f t="shared" si="18"/>
        <v>0</v>
      </c>
      <c r="J80" s="17">
        <f t="shared" si="18"/>
        <v>0</v>
      </c>
      <c r="K80" s="17">
        <f t="shared" si="18"/>
        <v>0</v>
      </c>
      <c r="L80" s="17">
        <f t="shared" si="18"/>
        <v>0</v>
      </c>
      <c r="M80" s="17">
        <f t="shared" si="18"/>
        <v>0</v>
      </c>
      <c r="N80" s="17">
        <f t="shared" si="18"/>
        <v>0</v>
      </c>
      <c r="O80" s="17">
        <f t="shared" si="18"/>
        <v>0</v>
      </c>
    </row>
    <row r="81" spans="1:15" x14ac:dyDescent="0.25">
      <c r="A81" s="14">
        <f t="shared" si="16"/>
        <v>74</v>
      </c>
      <c r="B81" s="14">
        <f t="shared" si="16"/>
        <v>114</v>
      </c>
      <c r="C81" s="38">
        <f t="shared" si="15"/>
        <v>4.3292504462035915</v>
      </c>
      <c r="E81" s="17" t="str">
        <f t="shared" ca="1" si="17"/>
        <v>LOCKED</v>
      </c>
      <c r="F81" s="17">
        <f t="shared" si="18"/>
        <v>0</v>
      </c>
      <c r="G81" s="17">
        <f t="shared" si="18"/>
        <v>216462.52231017957</v>
      </c>
      <c r="H81" s="17">
        <f t="shared" si="18"/>
        <v>0</v>
      </c>
      <c r="I81" s="17">
        <f t="shared" si="18"/>
        <v>0</v>
      </c>
      <c r="J81" s="17">
        <f t="shared" si="18"/>
        <v>0</v>
      </c>
      <c r="K81" s="17">
        <f t="shared" si="18"/>
        <v>0</v>
      </c>
      <c r="L81" s="17">
        <f t="shared" si="18"/>
        <v>0</v>
      </c>
      <c r="M81" s="17">
        <f t="shared" si="18"/>
        <v>0</v>
      </c>
      <c r="N81" s="17">
        <f t="shared" si="18"/>
        <v>0</v>
      </c>
      <c r="O81" s="17">
        <f t="shared" si="18"/>
        <v>0</v>
      </c>
    </row>
    <row r="82" spans="1:15" x14ac:dyDescent="0.25">
      <c r="A82" s="14">
        <f t="shared" si="16"/>
        <v>75</v>
      </c>
      <c r="B82" s="14">
        <f t="shared" si="16"/>
        <v>115</v>
      </c>
      <c r="C82" s="38">
        <f t="shared" si="15"/>
        <v>4.4158354551276622</v>
      </c>
      <c r="E82" s="17" t="str">
        <f t="shared" ca="1" si="17"/>
        <v>LOCKED</v>
      </c>
      <c r="F82" s="17">
        <f t="shared" si="18"/>
        <v>0</v>
      </c>
      <c r="G82" s="17">
        <f t="shared" si="18"/>
        <v>220791.77275638311</v>
      </c>
      <c r="H82" s="17">
        <f t="shared" si="18"/>
        <v>0</v>
      </c>
      <c r="I82" s="17">
        <f t="shared" si="18"/>
        <v>0</v>
      </c>
      <c r="J82" s="17">
        <f t="shared" si="18"/>
        <v>0</v>
      </c>
      <c r="K82" s="17">
        <f t="shared" si="18"/>
        <v>0</v>
      </c>
      <c r="L82" s="17">
        <f t="shared" si="18"/>
        <v>0</v>
      </c>
      <c r="M82" s="17">
        <f t="shared" si="18"/>
        <v>0</v>
      </c>
      <c r="N82" s="17">
        <f t="shared" si="18"/>
        <v>0</v>
      </c>
      <c r="O82" s="17">
        <f t="shared" si="18"/>
        <v>0</v>
      </c>
    </row>
    <row r="83" spans="1:15" x14ac:dyDescent="0.25">
      <c r="A83" s="14">
        <f t="shared" si="16"/>
        <v>76</v>
      </c>
      <c r="B83" s="14">
        <f t="shared" si="16"/>
        <v>116</v>
      </c>
      <c r="C83" s="38">
        <f t="shared" si="15"/>
        <v>4.5041521642302165</v>
      </c>
      <c r="E83" s="17" t="str">
        <f t="shared" ca="1" si="17"/>
        <v>LOCKED</v>
      </c>
      <c r="F83" s="17">
        <f t="shared" si="18"/>
        <v>0</v>
      </c>
      <c r="G83" s="17">
        <f t="shared" si="18"/>
        <v>225207.60821151081</v>
      </c>
      <c r="H83" s="17">
        <f t="shared" si="18"/>
        <v>0</v>
      </c>
      <c r="I83" s="17">
        <f t="shared" si="18"/>
        <v>0</v>
      </c>
      <c r="J83" s="17">
        <f t="shared" si="18"/>
        <v>0</v>
      </c>
      <c r="K83" s="17">
        <f t="shared" si="18"/>
        <v>0</v>
      </c>
      <c r="L83" s="17">
        <f t="shared" si="18"/>
        <v>0</v>
      </c>
      <c r="M83" s="17">
        <f t="shared" si="18"/>
        <v>0</v>
      </c>
      <c r="N83" s="17">
        <f t="shared" si="18"/>
        <v>0</v>
      </c>
      <c r="O83" s="17">
        <f t="shared" si="18"/>
        <v>0</v>
      </c>
    </row>
    <row r="84" spans="1:15" x14ac:dyDescent="0.25">
      <c r="A84" s="14">
        <f t="shared" si="16"/>
        <v>77</v>
      </c>
      <c r="B84" s="14">
        <f t="shared" si="16"/>
        <v>117</v>
      </c>
      <c r="C84" s="38">
        <f t="shared" si="15"/>
        <v>4.5942352075148207</v>
      </c>
      <c r="E84" s="17" t="str">
        <f t="shared" ca="1" si="17"/>
        <v>LOCKED</v>
      </c>
      <c r="F84" s="17">
        <f t="shared" si="18"/>
        <v>0</v>
      </c>
      <c r="G84" s="17">
        <f t="shared" si="18"/>
        <v>229711.76037574103</v>
      </c>
      <c r="H84" s="17">
        <f t="shared" si="18"/>
        <v>0</v>
      </c>
      <c r="I84" s="17">
        <f t="shared" si="18"/>
        <v>0</v>
      </c>
      <c r="J84" s="17">
        <f t="shared" si="18"/>
        <v>0</v>
      </c>
      <c r="K84" s="17">
        <f t="shared" si="18"/>
        <v>0</v>
      </c>
      <c r="L84" s="17">
        <f t="shared" si="18"/>
        <v>0</v>
      </c>
      <c r="M84" s="17">
        <f t="shared" si="18"/>
        <v>0</v>
      </c>
      <c r="N84" s="17">
        <f t="shared" si="18"/>
        <v>0</v>
      </c>
      <c r="O84" s="17">
        <f t="shared" si="18"/>
        <v>0</v>
      </c>
    </row>
    <row r="85" spans="1:15" x14ac:dyDescent="0.25">
      <c r="A85" s="14">
        <f t="shared" si="16"/>
        <v>78</v>
      </c>
      <c r="B85" s="14">
        <f t="shared" si="16"/>
        <v>118</v>
      </c>
      <c r="C85" s="38">
        <f t="shared" si="15"/>
        <v>4.6861199116651173</v>
      </c>
      <c r="E85" s="17" t="str">
        <f t="shared" ca="1" si="17"/>
        <v>LOCKED</v>
      </c>
      <c r="F85" s="17">
        <f t="shared" si="18"/>
        <v>0</v>
      </c>
      <c r="G85" s="17">
        <f t="shared" si="18"/>
        <v>234305.99558325586</v>
      </c>
      <c r="H85" s="17">
        <f t="shared" si="18"/>
        <v>0</v>
      </c>
      <c r="I85" s="17">
        <f t="shared" si="18"/>
        <v>0</v>
      </c>
      <c r="J85" s="17">
        <f t="shared" si="18"/>
        <v>0</v>
      </c>
      <c r="K85" s="17">
        <f t="shared" si="18"/>
        <v>0</v>
      </c>
      <c r="L85" s="17">
        <f t="shared" si="18"/>
        <v>0</v>
      </c>
      <c r="M85" s="17">
        <f t="shared" si="18"/>
        <v>0</v>
      </c>
      <c r="N85" s="17">
        <f t="shared" si="18"/>
        <v>0</v>
      </c>
      <c r="O85" s="17">
        <f t="shared" si="18"/>
        <v>0</v>
      </c>
    </row>
    <row r="86" spans="1:15" x14ac:dyDescent="0.25">
      <c r="A86" s="14">
        <f t="shared" si="16"/>
        <v>79</v>
      </c>
      <c r="B86" s="14">
        <f t="shared" si="16"/>
        <v>119</v>
      </c>
      <c r="C86" s="38">
        <f t="shared" si="15"/>
        <v>4.7798423098984184</v>
      </c>
      <c r="E86" s="17" t="str">
        <f t="shared" ca="1" si="17"/>
        <v>LOCKED</v>
      </c>
      <c r="F86" s="17">
        <f t="shared" si="18"/>
        <v>0</v>
      </c>
      <c r="G86" s="17">
        <f t="shared" si="18"/>
        <v>238992.11549492093</v>
      </c>
      <c r="H86" s="17">
        <f t="shared" si="18"/>
        <v>0</v>
      </c>
      <c r="I86" s="17">
        <f t="shared" si="18"/>
        <v>0</v>
      </c>
      <c r="J86" s="17">
        <f t="shared" si="18"/>
        <v>0</v>
      </c>
      <c r="K86" s="17">
        <f t="shared" si="18"/>
        <v>0</v>
      </c>
      <c r="L86" s="17">
        <f t="shared" si="18"/>
        <v>0</v>
      </c>
      <c r="M86" s="17">
        <f t="shared" si="18"/>
        <v>0</v>
      </c>
      <c r="N86" s="17">
        <f t="shared" si="18"/>
        <v>0</v>
      </c>
      <c r="O86" s="17">
        <f t="shared" si="18"/>
        <v>0</v>
      </c>
    </row>
    <row r="87" spans="1:15" x14ac:dyDescent="0.25">
      <c r="A87" s="14">
        <f t="shared" si="16"/>
        <v>80</v>
      </c>
      <c r="B87" s="14">
        <f t="shared" si="16"/>
        <v>120</v>
      </c>
      <c r="C87" s="38">
        <f t="shared" si="15"/>
        <v>4.8754391560963874</v>
      </c>
      <c r="E87" s="17" t="str">
        <f t="shared" ca="1" si="17"/>
        <v>LOCKED</v>
      </c>
      <c r="F87" s="17">
        <f t="shared" si="18"/>
        <v>0</v>
      </c>
      <c r="G87" s="17">
        <f t="shared" si="18"/>
        <v>243771.95780481937</v>
      </c>
      <c r="H87" s="17">
        <f t="shared" si="18"/>
        <v>0</v>
      </c>
      <c r="I87" s="17">
        <f t="shared" si="18"/>
        <v>0</v>
      </c>
      <c r="J87" s="17">
        <f t="shared" si="18"/>
        <v>0</v>
      </c>
      <c r="K87" s="17">
        <f t="shared" si="18"/>
        <v>0</v>
      </c>
      <c r="L87" s="17">
        <f t="shared" si="18"/>
        <v>0</v>
      </c>
      <c r="M87" s="17">
        <f t="shared" si="18"/>
        <v>0</v>
      </c>
      <c r="N87" s="17">
        <f t="shared" si="18"/>
        <v>0</v>
      </c>
      <c r="O87" s="17">
        <f t="shared" si="18"/>
        <v>0</v>
      </c>
    </row>
    <row r="88" spans="1:15" x14ac:dyDescent="0.25">
      <c r="A88" s="14">
        <f t="shared" si="16"/>
        <v>81</v>
      </c>
      <c r="B88" s="14">
        <f t="shared" si="16"/>
        <v>121</v>
      </c>
      <c r="C88" s="38">
        <f t="shared" si="15"/>
        <v>4.9729479392183151</v>
      </c>
      <c r="E88" s="17" t="str">
        <f t="shared" ca="1" si="17"/>
        <v>LOCKED</v>
      </c>
      <c r="F88" s="17">
        <f t="shared" ref="F88:O97" si="19">IF(OR($B88&gt;F$5,$B88&lt;F$4),0,F$2*(1+inflation+F$3)^$A88)</f>
        <v>0</v>
      </c>
      <c r="G88" s="17">
        <f t="shared" si="19"/>
        <v>248647.39696091576</v>
      </c>
      <c r="H88" s="17">
        <f t="shared" si="19"/>
        <v>0</v>
      </c>
      <c r="I88" s="17">
        <f t="shared" si="19"/>
        <v>0</v>
      </c>
      <c r="J88" s="17">
        <f t="shared" si="19"/>
        <v>0</v>
      </c>
      <c r="K88" s="17">
        <f t="shared" si="19"/>
        <v>0</v>
      </c>
      <c r="L88" s="17">
        <f t="shared" si="19"/>
        <v>0</v>
      </c>
      <c r="M88" s="17">
        <f t="shared" si="19"/>
        <v>0</v>
      </c>
      <c r="N88" s="17">
        <f t="shared" si="19"/>
        <v>0</v>
      </c>
      <c r="O88" s="17">
        <f t="shared" si="19"/>
        <v>0</v>
      </c>
    </row>
    <row r="89" spans="1:15" x14ac:dyDescent="0.25">
      <c r="A89" s="14">
        <f t="shared" ref="A89:B104" si="20">+A88+1</f>
        <v>82</v>
      </c>
      <c r="B89" s="14">
        <f t="shared" si="20"/>
        <v>122</v>
      </c>
      <c r="C89" s="38">
        <f t="shared" si="15"/>
        <v>5.0724068980026811</v>
      </c>
      <c r="E89" s="17" t="str">
        <f t="shared" ca="1" si="17"/>
        <v>LOCKED</v>
      </c>
      <c r="F89" s="17">
        <f t="shared" si="19"/>
        <v>0</v>
      </c>
      <c r="G89" s="17">
        <f t="shared" si="19"/>
        <v>253620.34490013405</v>
      </c>
      <c r="H89" s="17">
        <f t="shared" si="19"/>
        <v>0</v>
      </c>
      <c r="I89" s="17">
        <f t="shared" si="19"/>
        <v>0</v>
      </c>
      <c r="J89" s="17">
        <f t="shared" si="19"/>
        <v>0</v>
      </c>
      <c r="K89" s="17">
        <f t="shared" si="19"/>
        <v>0</v>
      </c>
      <c r="L89" s="17">
        <f t="shared" si="19"/>
        <v>0</v>
      </c>
      <c r="M89" s="17">
        <f t="shared" si="19"/>
        <v>0</v>
      </c>
      <c r="N89" s="17">
        <f t="shared" si="19"/>
        <v>0</v>
      </c>
      <c r="O89" s="17">
        <f t="shared" si="19"/>
        <v>0</v>
      </c>
    </row>
    <row r="90" spans="1:15" x14ac:dyDescent="0.25">
      <c r="A90" s="14">
        <f t="shared" si="20"/>
        <v>83</v>
      </c>
      <c r="B90" s="14">
        <f t="shared" si="20"/>
        <v>123</v>
      </c>
      <c r="C90" s="38">
        <f t="shared" si="15"/>
        <v>5.1738550359627347</v>
      </c>
      <c r="E90" s="17" t="str">
        <f t="shared" ca="1" si="17"/>
        <v>LOCKED</v>
      </c>
      <c r="F90" s="17">
        <f t="shared" si="19"/>
        <v>0</v>
      </c>
      <c r="G90" s="17">
        <f t="shared" si="19"/>
        <v>258692.75179813674</v>
      </c>
      <c r="H90" s="17">
        <f t="shared" si="19"/>
        <v>0</v>
      </c>
      <c r="I90" s="17">
        <f t="shared" si="19"/>
        <v>0</v>
      </c>
      <c r="J90" s="17">
        <f t="shared" si="19"/>
        <v>0</v>
      </c>
      <c r="K90" s="17">
        <f t="shared" si="19"/>
        <v>0</v>
      </c>
      <c r="L90" s="17">
        <f t="shared" si="19"/>
        <v>0</v>
      </c>
      <c r="M90" s="17">
        <f t="shared" si="19"/>
        <v>0</v>
      </c>
      <c r="N90" s="17">
        <f t="shared" si="19"/>
        <v>0</v>
      </c>
      <c r="O90" s="17">
        <f t="shared" si="19"/>
        <v>0</v>
      </c>
    </row>
    <row r="91" spans="1:15" x14ac:dyDescent="0.25">
      <c r="A91" s="14">
        <f t="shared" si="20"/>
        <v>84</v>
      </c>
      <c r="B91" s="14">
        <f t="shared" si="20"/>
        <v>124</v>
      </c>
      <c r="C91" s="38">
        <f t="shared" si="15"/>
        <v>5.2773321366819896</v>
      </c>
      <c r="E91" s="17" t="str">
        <f t="shared" ca="1" si="17"/>
        <v>LOCKED</v>
      </c>
      <c r="F91" s="17">
        <f t="shared" si="19"/>
        <v>0</v>
      </c>
      <c r="G91" s="17">
        <f t="shared" si="19"/>
        <v>263866.60683409945</v>
      </c>
      <c r="H91" s="17">
        <f t="shared" si="19"/>
        <v>0</v>
      </c>
      <c r="I91" s="17">
        <f t="shared" si="19"/>
        <v>0</v>
      </c>
      <c r="J91" s="17">
        <f t="shared" si="19"/>
        <v>0</v>
      </c>
      <c r="K91" s="17">
        <f t="shared" si="19"/>
        <v>0</v>
      </c>
      <c r="L91" s="17">
        <f t="shared" si="19"/>
        <v>0</v>
      </c>
      <c r="M91" s="17">
        <f t="shared" si="19"/>
        <v>0</v>
      </c>
      <c r="N91" s="17">
        <f t="shared" si="19"/>
        <v>0</v>
      </c>
      <c r="O91" s="17">
        <f t="shared" si="19"/>
        <v>0</v>
      </c>
    </row>
    <row r="92" spans="1:15" x14ac:dyDescent="0.25">
      <c r="A92" s="14">
        <f t="shared" si="20"/>
        <v>85</v>
      </c>
      <c r="B92" s="14">
        <f t="shared" si="20"/>
        <v>125</v>
      </c>
      <c r="C92" s="38">
        <f t="shared" si="15"/>
        <v>5.3828787794156296</v>
      </c>
      <c r="E92" s="17" t="str">
        <f t="shared" ca="1" si="17"/>
        <v>LOCKED</v>
      </c>
      <c r="F92" s="17">
        <f t="shared" si="19"/>
        <v>0</v>
      </c>
      <c r="G92" s="17">
        <f t="shared" si="19"/>
        <v>269143.93897078146</v>
      </c>
      <c r="H92" s="17">
        <f t="shared" si="19"/>
        <v>0</v>
      </c>
      <c r="I92" s="17">
        <f t="shared" si="19"/>
        <v>0</v>
      </c>
      <c r="J92" s="17">
        <f t="shared" si="19"/>
        <v>0</v>
      </c>
      <c r="K92" s="17">
        <f t="shared" si="19"/>
        <v>0</v>
      </c>
      <c r="L92" s="17">
        <f t="shared" si="19"/>
        <v>0</v>
      </c>
      <c r="M92" s="17">
        <f t="shared" si="19"/>
        <v>0</v>
      </c>
      <c r="N92" s="17">
        <f t="shared" si="19"/>
        <v>0</v>
      </c>
      <c r="O92" s="17">
        <f t="shared" si="19"/>
        <v>0</v>
      </c>
    </row>
    <row r="93" spans="1:15" x14ac:dyDescent="0.25">
      <c r="A93" s="14">
        <f t="shared" si="20"/>
        <v>86</v>
      </c>
      <c r="B93" s="14">
        <f t="shared" si="20"/>
        <v>126</v>
      </c>
      <c r="C93" s="38">
        <f t="shared" si="15"/>
        <v>5.4905363550039423</v>
      </c>
      <c r="E93" s="17" t="str">
        <f t="shared" ca="1" si="17"/>
        <v>LOCKED</v>
      </c>
      <c r="F93" s="17">
        <f t="shared" si="19"/>
        <v>0</v>
      </c>
      <c r="G93" s="17">
        <f t="shared" si="19"/>
        <v>274526.81775019714</v>
      </c>
      <c r="H93" s="17">
        <f t="shared" si="19"/>
        <v>0</v>
      </c>
      <c r="I93" s="17">
        <f t="shared" si="19"/>
        <v>0</v>
      </c>
      <c r="J93" s="17">
        <f t="shared" si="19"/>
        <v>0</v>
      </c>
      <c r="K93" s="17">
        <f t="shared" si="19"/>
        <v>0</v>
      </c>
      <c r="L93" s="17">
        <f t="shared" si="19"/>
        <v>0</v>
      </c>
      <c r="M93" s="17">
        <f t="shared" si="19"/>
        <v>0</v>
      </c>
      <c r="N93" s="17">
        <f t="shared" si="19"/>
        <v>0</v>
      </c>
      <c r="O93" s="17">
        <f t="shared" si="19"/>
        <v>0</v>
      </c>
    </row>
    <row r="94" spans="1:15" x14ac:dyDescent="0.25">
      <c r="A94" s="14">
        <f t="shared" si="20"/>
        <v>87</v>
      </c>
      <c r="B94" s="14">
        <f t="shared" si="20"/>
        <v>127</v>
      </c>
      <c r="C94" s="38">
        <f t="shared" si="15"/>
        <v>5.6003470821040198</v>
      </c>
      <c r="E94" s="17" t="str">
        <f t="shared" ca="1" si="17"/>
        <v>LOCKED</v>
      </c>
      <c r="F94" s="17">
        <f t="shared" si="19"/>
        <v>0</v>
      </c>
      <c r="G94" s="17">
        <f t="shared" si="19"/>
        <v>280017.35410520097</v>
      </c>
      <c r="H94" s="17">
        <f t="shared" si="19"/>
        <v>0</v>
      </c>
      <c r="I94" s="17">
        <f t="shared" si="19"/>
        <v>0</v>
      </c>
      <c r="J94" s="17">
        <f t="shared" si="19"/>
        <v>0</v>
      </c>
      <c r="K94" s="17">
        <f t="shared" si="19"/>
        <v>0</v>
      </c>
      <c r="L94" s="17">
        <f t="shared" si="19"/>
        <v>0</v>
      </c>
      <c r="M94" s="17">
        <f t="shared" si="19"/>
        <v>0</v>
      </c>
      <c r="N94" s="17">
        <f t="shared" si="19"/>
        <v>0</v>
      </c>
      <c r="O94" s="17">
        <f t="shared" si="19"/>
        <v>0</v>
      </c>
    </row>
    <row r="95" spans="1:15" x14ac:dyDescent="0.25">
      <c r="A95" s="14">
        <f t="shared" si="20"/>
        <v>88</v>
      </c>
      <c r="B95" s="14">
        <f t="shared" si="20"/>
        <v>128</v>
      </c>
      <c r="C95" s="38">
        <f t="shared" si="15"/>
        <v>5.7123540237461006</v>
      </c>
      <c r="E95" s="17" t="str">
        <f t="shared" ca="1" si="17"/>
        <v>LOCKED</v>
      </c>
      <c r="F95" s="17">
        <f t="shared" si="19"/>
        <v>0</v>
      </c>
      <c r="G95" s="17">
        <f t="shared" si="19"/>
        <v>285617.70118730504</v>
      </c>
      <c r="H95" s="17">
        <f t="shared" si="19"/>
        <v>0</v>
      </c>
      <c r="I95" s="17">
        <f t="shared" si="19"/>
        <v>0</v>
      </c>
      <c r="J95" s="17">
        <f t="shared" si="19"/>
        <v>0</v>
      </c>
      <c r="K95" s="17">
        <f t="shared" si="19"/>
        <v>0</v>
      </c>
      <c r="L95" s="17">
        <f t="shared" si="19"/>
        <v>0</v>
      </c>
      <c r="M95" s="17">
        <f t="shared" si="19"/>
        <v>0</v>
      </c>
      <c r="N95" s="17">
        <f t="shared" si="19"/>
        <v>0</v>
      </c>
      <c r="O95" s="17">
        <f t="shared" si="19"/>
        <v>0</v>
      </c>
    </row>
    <row r="96" spans="1:15" x14ac:dyDescent="0.25">
      <c r="A96" s="14">
        <f t="shared" si="20"/>
        <v>89</v>
      </c>
      <c r="B96" s="14">
        <f t="shared" si="20"/>
        <v>129</v>
      </c>
      <c r="C96" s="38">
        <f t="shared" si="15"/>
        <v>5.8266011042210231</v>
      </c>
      <c r="E96" s="17" t="str">
        <f t="shared" ca="1" si="17"/>
        <v>LOCKED</v>
      </c>
      <c r="F96" s="17">
        <f t="shared" si="19"/>
        <v>0</v>
      </c>
      <c r="G96" s="17">
        <f t="shared" si="19"/>
        <v>291330.05521105113</v>
      </c>
      <c r="H96" s="17">
        <f t="shared" si="19"/>
        <v>0</v>
      </c>
      <c r="I96" s="17">
        <f t="shared" si="19"/>
        <v>0</v>
      </c>
      <c r="J96" s="17">
        <f t="shared" si="19"/>
        <v>0</v>
      </c>
      <c r="K96" s="17">
        <f t="shared" si="19"/>
        <v>0</v>
      </c>
      <c r="L96" s="17">
        <f t="shared" si="19"/>
        <v>0</v>
      </c>
      <c r="M96" s="17">
        <f t="shared" si="19"/>
        <v>0</v>
      </c>
      <c r="N96" s="17">
        <f t="shared" si="19"/>
        <v>0</v>
      </c>
      <c r="O96" s="17">
        <f t="shared" si="19"/>
        <v>0</v>
      </c>
    </row>
    <row r="97" spans="1:15" x14ac:dyDescent="0.25">
      <c r="A97" s="14">
        <f t="shared" si="20"/>
        <v>90</v>
      </c>
      <c r="B97" s="14">
        <f t="shared" si="20"/>
        <v>130</v>
      </c>
      <c r="C97" s="38">
        <f t="shared" si="15"/>
        <v>5.9431331263054439</v>
      </c>
      <c r="E97" s="17" t="str">
        <f t="shared" ca="1" si="17"/>
        <v>LOCKED</v>
      </c>
      <c r="F97" s="17">
        <f t="shared" si="19"/>
        <v>0</v>
      </c>
      <c r="G97" s="17">
        <f t="shared" si="19"/>
        <v>297156.65631527221</v>
      </c>
      <c r="H97" s="17">
        <f t="shared" si="19"/>
        <v>0</v>
      </c>
      <c r="I97" s="17">
        <f t="shared" si="19"/>
        <v>0</v>
      </c>
      <c r="J97" s="17">
        <f t="shared" si="19"/>
        <v>0</v>
      </c>
      <c r="K97" s="17">
        <f t="shared" si="19"/>
        <v>0</v>
      </c>
      <c r="L97" s="17">
        <f t="shared" si="19"/>
        <v>0</v>
      </c>
      <c r="M97" s="17">
        <f t="shared" si="19"/>
        <v>0</v>
      </c>
      <c r="N97" s="17">
        <f t="shared" si="19"/>
        <v>0</v>
      </c>
      <c r="O97" s="17">
        <f t="shared" si="19"/>
        <v>0</v>
      </c>
    </row>
    <row r="98" spans="1:15" x14ac:dyDescent="0.25">
      <c r="A98" s="14">
        <f t="shared" si="20"/>
        <v>91</v>
      </c>
      <c r="B98" s="14">
        <f t="shared" si="20"/>
        <v>131</v>
      </c>
      <c r="C98" s="38">
        <f t="shared" si="15"/>
        <v>6.0619957888315517</v>
      </c>
      <c r="E98" s="17" t="str">
        <f t="shared" ca="1" si="17"/>
        <v>LOCKED</v>
      </c>
      <c r="F98" s="17">
        <f t="shared" ref="F98:O107" si="21">IF(OR($B98&gt;F$5,$B98&lt;F$4),0,F$2*(1+inflation+F$3)^$A98)</f>
        <v>0</v>
      </c>
      <c r="G98" s="17">
        <f t="shared" si="21"/>
        <v>303099.78944157757</v>
      </c>
      <c r="H98" s="17">
        <f t="shared" si="21"/>
        <v>0</v>
      </c>
      <c r="I98" s="17">
        <f t="shared" si="21"/>
        <v>0</v>
      </c>
      <c r="J98" s="17">
        <f t="shared" si="21"/>
        <v>0</v>
      </c>
      <c r="K98" s="17">
        <f t="shared" si="21"/>
        <v>0</v>
      </c>
      <c r="L98" s="17">
        <f t="shared" si="21"/>
        <v>0</v>
      </c>
      <c r="M98" s="17">
        <f t="shared" si="21"/>
        <v>0</v>
      </c>
      <c r="N98" s="17">
        <f t="shared" si="21"/>
        <v>0</v>
      </c>
      <c r="O98" s="17">
        <f t="shared" si="21"/>
        <v>0</v>
      </c>
    </row>
    <row r="99" spans="1:15" x14ac:dyDescent="0.25">
      <c r="A99" s="14">
        <f t="shared" si="20"/>
        <v>92</v>
      </c>
      <c r="B99" s="14">
        <f t="shared" si="20"/>
        <v>132</v>
      </c>
      <c r="C99" s="38">
        <f t="shared" si="15"/>
        <v>6.1832357046081841</v>
      </c>
      <c r="E99" s="17" t="str">
        <f t="shared" ca="1" si="17"/>
        <v>LOCKED</v>
      </c>
      <c r="F99" s="17">
        <f t="shared" si="21"/>
        <v>0</v>
      </c>
      <c r="G99" s="17">
        <f t="shared" si="21"/>
        <v>309161.78523040918</v>
      </c>
      <c r="H99" s="17">
        <f t="shared" si="21"/>
        <v>0</v>
      </c>
      <c r="I99" s="17">
        <f t="shared" si="21"/>
        <v>0</v>
      </c>
      <c r="J99" s="17">
        <f t="shared" si="21"/>
        <v>0</v>
      </c>
      <c r="K99" s="17">
        <f t="shared" si="21"/>
        <v>0</v>
      </c>
      <c r="L99" s="17">
        <f t="shared" si="21"/>
        <v>0</v>
      </c>
      <c r="M99" s="17">
        <f t="shared" si="21"/>
        <v>0</v>
      </c>
      <c r="N99" s="17">
        <f t="shared" si="21"/>
        <v>0</v>
      </c>
      <c r="O99" s="17">
        <f t="shared" si="21"/>
        <v>0</v>
      </c>
    </row>
    <row r="100" spans="1:15" x14ac:dyDescent="0.25">
      <c r="A100" s="14">
        <f t="shared" si="20"/>
        <v>93</v>
      </c>
      <c r="B100" s="14">
        <f t="shared" si="20"/>
        <v>133</v>
      </c>
      <c r="C100" s="38">
        <f t="shared" si="15"/>
        <v>6.306900418700347</v>
      </c>
      <c r="E100" s="17" t="str">
        <f t="shared" ca="1" si="17"/>
        <v>LOCKED</v>
      </c>
      <c r="F100" s="17">
        <f t="shared" si="21"/>
        <v>0</v>
      </c>
      <c r="G100" s="17">
        <f t="shared" si="21"/>
        <v>315345.02093501732</v>
      </c>
      <c r="H100" s="17">
        <f t="shared" si="21"/>
        <v>0</v>
      </c>
      <c r="I100" s="17">
        <f t="shared" si="21"/>
        <v>0</v>
      </c>
      <c r="J100" s="17">
        <f t="shared" si="21"/>
        <v>0</v>
      </c>
      <c r="K100" s="17">
        <f t="shared" si="21"/>
        <v>0</v>
      </c>
      <c r="L100" s="17">
        <f t="shared" si="21"/>
        <v>0</v>
      </c>
      <c r="M100" s="17">
        <f t="shared" si="21"/>
        <v>0</v>
      </c>
      <c r="N100" s="17">
        <f t="shared" si="21"/>
        <v>0</v>
      </c>
      <c r="O100" s="17">
        <f t="shared" si="21"/>
        <v>0</v>
      </c>
    </row>
    <row r="101" spans="1:15" x14ac:dyDescent="0.25">
      <c r="A101" s="14">
        <f t="shared" si="20"/>
        <v>94</v>
      </c>
      <c r="B101" s="14">
        <f t="shared" si="20"/>
        <v>134</v>
      </c>
      <c r="C101" s="38">
        <f t="shared" si="15"/>
        <v>6.4330384270743544</v>
      </c>
      <c r="E101" s="17" t="str">
        <f t="shared" ca="1" si="17"/>
        <v>LOCKED</v>
      </c>
      <c r="F101" s="17">
        <f t="shared" si="21"/>
        <v>0</v>
      </c>
      <c r="G101" s="17">
        <f t="shared" si="21"/>
        <v>321651.92135371774</v>
      </c>
      <c r="H101" s="17">
        <f t="shared" si="21"/>
        <v>0</v>
      </c>
      <c r="I101" s="17">
        <f t="shared" si="21"/>
        <v>0</v>
      </c>
      <c r="J101" s="17">
        <f t="shared" si="21"/>
        <v>0</v>
      </c>
      <c r="K101" s="17">
        <f t="shared" si="21"/>
        <v>0</v>
      </c>
      <c r="L101" s="17">
        <f t="shared" si="21"/>
        <v>0</v>
      </c>
      <c r="M101" s="17">
        <f t="shared" si="21"/>
        <v>0</v>
      </c>
      <c r="N101" s="17">
        <f t="shared" si="21"/>
        <v>0</v>
      </c>
      <c r="O101" s="17">
        <f t="shared" si="21"/>
        <v>0</v>
      </c>
    </row>
    <row r="102" spans="1:15" x14ac:dyDescent="0.25">
      <c r="A102" s="14">
        <f t="shared" si="20"/>
        <v>95</v>
      </c>
      <c r="B102" s="14">
        <f t="shared" si="20"/>
        <v>135</v>
      </c>
      <c r="C102" s="38">
        <f t="shared" si="15"/>
        <v>6.5616991956158399</v>
      </c>
      <c r="E102" s="17" t="str">
        <f t="shared" ca="1" si="17"/>
        <v>LOCKED</v>
      </c>
      <c r="F102" s="17">
        <f t="shared" si="21"/>
        <v>0</v>
      </c>
      <c r="G102" s="17">
        <f t="shared" si="21"/>
        <v>328084.95978079201</v>
      </c>
      <c r="H102" s="17">
        <f t="shared" si="21"/>
        <v>0</v>
      </c>
      <c r="I102" s="17">
        <f t="shared" si="21"/>
        <v>0</v>
      </c>
      <c r="J102" s="17">
        <f t="shared" si="21"/>
        <v>0</v>
      </c>
      <c r="K102" s="17">
        <f t="shared" si="21"/>
        <v>0</v>
      </c>
      <c r="L102" s="17">
        <f t="shared" si="21"/>
        <v>0</v>
      </c>
      <c r="M102" s="17">
        <f t="shared" si="21"/>
        <v>0</v>
      </c>
      <c r="N102" s="17">
        <f t="shared" si="21"/>
        <v>0</v>
      </c>
      <c r="O102" s="17">
        <f t="shared" si="21"/>
        <v>0</v>
      </c>
    </row>
    <row r="103" spans="1:15" x14ac:dyDescent="0.25">
      <c r="A103" s="14">
        <f t="shared" si="20"/>
        <v>96</v>
      </c>
      <c r="B103" s="14">
        <f t="shared" si="20"/>
        <v>136</v>
      </c>
      <c r="C103" s="38">
        <f t="shared" si="15"/>
        <v>6.6929331795281577</v>
      </c>
      <c r="E103" s="17" t="str">
        <f t="shared" ca="1" si="17"/>
        <v>LOCKED</v>
      </c>
      <c r="F103" s="17">
        <f t="shared" si="21"/>
        <v>0</v>
      </c>
      <c r="G103" s="17">
        <f t="shared" si="21"/>
        <v>334646.6589764079</v>
      </c>
      <c r="H103" s="17">
        <f t="shared" si="21"/>
        <v>0</v>
      </c>
      <c r="I103" s="17">
        <f t="shared" si="21"/>
        <v>0</v>
      </c>
      <c r="J103" s="17">
        <f t="shared" si="21"/>
        <v>0</v>
      </c>
      <c r="K103" s="17">
        <f t="shared" si="21"/>
        <v>0</v>
      </c>
      <c r="L103" s="17">
        <f t="shared" si="21"/>
        <v>0</v>
      </c>
      <c r="M103" s="17">
        <f t="shared" si="21"/>
        <v>0</v>
      </c>
      <c r="N103" s="17">
        <f t="shared" si="21"/>
        <v>0</v>
      </c>
      <c r="O103" s="17">
        <f t="shared" si="21"/>
        <v>0</v>
      </c>
    </row>
    <row r="104" spans="1:15" x14ac:dyDescent="0.25">
      <c r="A104" s="14">
        <f t="shared" si="20"/>
        <v>97</v>
      </c>
      <c r="B104" s="14">
        <f t="shared" si="20"/>
        <v>137</v>
      </c>
      <c r="C104" s="38">
        <f t="shared" si="15"/>
        <v>6.8267918431187216</v>
      </c>
      <c r="E104" s="17" t="str">
        <f t="shared" ca="1" si="17"/>
        <v>LOCKED</v>
      </c>
      <c r="F104" s="17">
        <f t="shared" si="21"/>
        <v>0</v>
      </c>
      <c r="G104" s="17">
        <f t="shared" si="21"/>
        <v>341339.59215593606</v>
      </c>
      <c r="H104" s="17">
        <f t="shared" si="21"/>
        <v>0</v>
      </c>
      <c r="I104" s="17">
        <f t="shared" si="21"/>
        <v>0</v>
      </c>
      <c r="J104" s="17">
        <f t="shared" si="21"/>
        <v>0</v>
      </c>
      <c r="K104" s="17">
        <f t="shared" si="21"/>
        <v>0</v>
      </c>
      <c r="L104" s="17">
        <f t="shared" si="21"/>
        <v>0</v>
      </c>
      <c r="M104" s="17">
        <f t="shared" si="21"/>
        <v>0</v>
      </c>
      <c r="N104" s="17">
        <f t="shared" si="21"/>
        <v>0</v>
      </c>
      <c r="O104" s="17">
        <f t="shared" si="21"/>
        <v>0</v>
      </c>
    </row>
    <row r="105" spans="1:15" x14ac:dyDescent="0.25">
      <c r="A105" s="14">
        <f t="shared" ref="A105:B107" si="22">+A104+1</f>
        <v>98</v>
      </c>
      <c r="B105" s="14">
        <f t="shared" si="22"/>
        <v>138</v>
      </c>
      <c r="C105" s="38">
        <f t="shared" si="15"/>
        <v>6.963327679981095</v>
      </c>
      <c r="E105" s="17" t="str">
        <f t="shared" ca="1" si="17"/>
        <v>LOCKED</v>
      </c>
      <c r="F105" s="17">
        <f t="shared" si="21"/>
        <v>0</v>
      </c>
      <c r="G105" s="17">
        <f t="shared" si="21"/>
        <v>348166.38399905473</v>
      </c>
      <c r="H105" s="17">
        <f t="shared" si="21"/>
        <v>0</v>
      </c>
      <c r="I105" s="17">
        <f t="shared" si="21"/>
        <v>0</v>
      </c>
      <c r="J105" s="17">
        <f t="shared" si="21"/>
        <v>0</v>
      </c>
      <c r="K105" s="17">
        <f t="shared" si="21"/>
        <v>0</v>
      </c>
      <c r="L105" s="17">
        <f t="shared" si="21"/>
        <v>0</v>
      </c>
      <c r="M105" s="17">
        <f t="shared" si="21"/>
        <v>0</v>
      </c>
      <c r="N105" s="17">
        <f t="shared" si="21"/>
        <v>0</v>
      </c>
      <c r="O105" s="17">
        <f t="shared" si="21"/>
        <v>0</v>
      </c>
    </row>
    <row r="106" spans="1:15" x14ac:dyDescent="0.25">
      <c r="A106" s="14">
        <f t="shared" si="22"/>
        <v>99</v>
      </c>
      <c r="B106" s="14">
        <f t="shared" si="22"/>
        <v>139</v>
      </c>
      <c r="C106" s="38">
        <f t="shared" si="15"/>
        <v>7.1025942335807173</v>
      </c>
      <c r="E106" s="17" t="str">
        <f t="shared" ca="1" si="17"/>
        <v>LOCKED</v>
      </c>
      <c r="F106" s="17">
        <f t="shared" si="21"/>
        <v>0</v>
      </c>
      <c r="G106" s="17">
        <f t="shared" si="21"/>
        <v>355129.71167903586</v>
      </c>
      <c r="H106" s="17">
        <f t="shared" si="21"/>
        <v>0</v>
      </c>
      <c r="I106" s="17">
        <f t="shared" si="21"/>
        <v>0</v>
      </c>
      <c r="J106" s="17">
        <f t="shared" si="21"/>
        <v>0</v>
      </c>
      <c r="K106" s="17">
        <f t="shared" si="21"/>
        <v>0</v>
      </c>
      <c r="L106" s="17">
        <f t="shared" si="21"/>
        <v>0</v>
      </c>
      <c r="M106" s="17">
        <f t="shared" si="21"/>
        <v>0</v>
      </c>
      <c r="N106" s="17">
        <f t="shared" si="21"/>
        <v>0</v>
      </c>
      <c r="O106" s="17">
        <f t="shared" si="21"/>
        <v>0</v>
      </c>
    </row>
    <row r="107" spans="1:15" x14ac:dyDescent="0.25">
      <c r="A107" s="15">
        <f t="shared" si="22"/>
        <v>100</v>
      </c>
      <c r="B107" s="15">
        <f t="shared" si="22"/>
        <v>140</v>
      </c>
      <c r="C107" s="38">
        <f t="shared" si="15"/>
        <v>7.244646118252331</v>
      </c>
      <c r="E107" s="17" t="str">
        <f t="shared" ca="1" si="17"/>
        <v>LOCKED</v>
      </c>
      <c r="F107" s="17">
        <f t="shared" si="21"/>
        <v>0</v>
      </c>
      <c r="G107" s="17">
        <f t="shared" si="21"/>
        <v>362232.30591261655</v>
      </c>
      <c r="H107" s="17">
        <f t="shared" si="21"/>
        <v>0</v>
      </c>
      <c r="I107" s="17">
        <f t="shared" si="21"/>
        <v>0</v>
      </c>
      <c r="J107" s="17">
        <f t="shared" si="21"/>
        <v>0</v>
      </c>
      <c r="K107" s="17">
        <f t="shared" si="21"/>
        <v>0</v>
      </c>
      <c r="L107" s="17">
        <f t="shared" si="21"/>
        <v>0</v>
      </c>
      <c r="M107" s="17">
        <f t="shared" si="21"/>
        <v>0</v>
      </c>
      <c r="N107" s="17">
        <f t="shared" si="21"/>
        <v>0</v>
      </c>
      <c r="O107" s="17">
        <f t="shared" si="21"/>
        <v>0</v>
      </c>
    </row>
  </sheetData>
  <conditionalFormatting sqref="E13:E107">
    <cfRule type="expression" dxfId="0" priority="1">
      <formula>$E$88="LOCKED"</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D111"/>
  <sheetViews>
    <sheetView zoomScaleNormal="150" zoomScaleSheetLayoutView="100" workbookViewId="0">
      <pane xSplit="3" ySplit="11" topLeftCell="D12" activePane="bottomRight" state="frozen"/>
      <selection pane="topRight" activeCell="C1" sqref="C1"/>
      <selection pane="bottomLeft" activeCell="A13" sqref="A13"/>
      <selection pane="bottomRight" activeCell="D12" sqref="D12"/>
    </sheetView>
  </sheetViews>
  <sheetFormatPr defaultRowHeight="15" x14ac:dyDescent="0.25"/>
  <cols>
    <col min="4" max="4" width="3.140625" customWidth="1"/>
    <col min="5" max="5" width="15.5703125" bestFit="1" customWidth="1"/>
    <col min="6" max="9" width="15.5703125" customWidth="1"/>
    <col min="10" max="10" width="3.140625" customWidth="1"/>
    <col min="11" max="12" width="15.28515625" customWidth="1"/>
    <col min="13" max="13" width="16.5703125" customWidth="1"/>
    <col min="14" max="14" width="18.7109375" customWidth="1"/>
    <col min="15" max="15" width="3.140625" customWidth="1"/>
    <col min="16" max="16" width="13.7109375" customWidth="1"/>
    <col min="17" max="17" width="16.7109375" customWidth="1"/>
    <col min="18" max="18" width="3.140625" customWidth="1"/>
    <col min="19" max="19" width="14.42578125" customWidth="1"/>
    <col min="20" max="20" width="14.42578125" bestFit="1" customWidth="1"/>
    <col min="21" max="23" width="14.42578125" customWidth="1"/>
    <col min="24" max="24" width="3.140625" customWidth="1"/>
    <col min="25" max="25" width="16.7109375" bestFit="1" customWidth="1"/>
    <col min="26" max="26" width="14.42578125" bestFit="1" customWidth="1"/>
    <col min="27" max="29" width="14.42578125" customWidth="1"/>
    <col min="30" max="30" width="14.42578125" bestFit="1" customWidth="1"/>
    <col min="31" max="31" width="14.42578125" customWidth="1"/>
    <col min="32" max="32" width="3.140625" customWidth="1"/>
    <col min="33" max="33" width="16.7109375" bestFit="1" customWidth="1"/>
    <col min="34" max="34" width="14.42578125" bestFit="1" customWidth="1"/>
    <col min="35" max="35" width="14.42578125" customWidth="1"/>
    <col min="36" max="36" width="23.140625" customWidth="1"/>
    <col min="37" max="37" width="14.42578125" customWidth="1"/>
    <col min="38" max="38" width="14.42578125" bestFit="1" customWidth="1"/>
    <col min="39" max="39" width="14.42578125" customWidth="1"/>
    <col min="40" max="40" width="3.140625" customWidth="1"/>
    <col min="41" max="41" width="16.7109375" bestFit="1" customWidth="1"/>
    <col min="42" max="42" width="14.42578125" bestFit="1" customWidth="1"/>
    <col min="43" max="45" width="14.42578125" customWidth="1"/>
    <col min="46" max="46" width="14.42578125" bestFit="1" customWidth="1"/>
    <col min="47" max="47" width="14.42578125" customWidth="1"/>
    <col min="48" max="48" width="3.140625" customWidth="1"/>
    <col min="49" max="49" width="16.7109375" bestFit="1" customWidth="1"/>
    <col min="50" max="50" width="14.42578125" bestFit="1" customWidth="1"/>
    <col min="51" max="53" width="14.42578125" customWidth="1"/>
    <col min="54" max="54" width="14.42578125" bestFit="1" customWidth="1"/>
    <col min="55" max="55" width="14.42578125" customWidth="1"/>
    <col min="56" max="56" width="3.140625" customWidth="1"/>
  </cols>
  <sheetData>
    <row r="1" spans="1:56" ht="14.45" x14ac:dyDescent="0.3">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row>
    <row r="2" spans="1:56" ht="14.45" x14ac:dyDescent="0.3">
      <c r="S2" s="7" t="s">
        <v>79</v>
      </c>
      <c r="T2" s="63">
        <f>+cashStartingBalance</f>
        <v>10000</v>
      </c>
      <c r="U2" s="148"/>
      <c r="V2" s="148"/>
      <c r="W2" s="148"/>
      <c r="X2" s="148"/>
      <c r="Y2" s="149" t="s">
        <v>18</v>
      </c>
      <c r="Z2" s="150" t="str">
        <f>+Dashboard!B51</f>
        <v>Stocks</v>
      </c>
      <c r="AA2" s="151"/>
      <c r="AB2" s="151"/>
      <c r="AC2" s="148"/>
      <c r="AD2" s="148"/>
      <c r="AE2" s="151"/>
      <c r="AF2" s="148"/>
      <c r="AG2" s="149" t="s">
        <v>21</v>
      </c>
      <c r="AH2" s="150" t="str">
        <f>+Dashboard!C51</f>
        <v>Bonds</v>
      </c>
      <c r="AI2" s="151"/>
      <c r="AJ2" s="151"/>
      <c r="AK2" s="148"/>
      <c r="AL2" s="148"/>
      <c r="AM2" s="151"/>
      <c r="AN2" s="148"/>
      <c r="AO2" s="149" t="s">
        <v>22</v>
      </c>
      <c r="AP2" s="150" t="str">
        <f>+Dashboard!D51</f>
        <v>401K Stocks</v>
      </c>
      <c r="AQ2" s="151"/>
      <c r="AR2" s="151"/>
      <c r="AS2" s="148"/>
      <c r="AT2" s="148"/>
      <c r="AU2" s="151"/>
      <c r="AV2" s="148"/>
      <c r="AW2" s="149" t="s">
        <v>23</v>
      </c>
      <c r="AX2" s="150" t="str">
        <f>+Dashboard!E51</f>
        <v>401K Bonds</v>
      </c>
      <c r="AY2" s="151"/>
      <c r="AZ2" s="151"/>
      <c r="BC2" s="28"/>
    </row>
    <row r="3" spans="1:56" ht="14.45" x14ac:dyDescent="0.3">
      <c r="S3" s="7" t="s">
        <v>77</v>
      </c>
      <c r="T3" s="63">
        <f>+cashTargetBalance</f>
        <v>25000</v>
      </c>
      <c r="U3" s="148"/>
      <c r="V3" s="148"/>
      <c r="W3" s="148"/>
      <c r="X3" s="148"/>
      <c r="Y3" s="149" t="s">
        <v>19</v>
      </c>
      <c r="Z3" s="63">
        <f>+Dashboard!B52</f>
        <v>60000</v>
      </c>
      <c r="AA3" s="152"/>
      <c r="AB3" s="148"/>
      <c r="AC3" s="148"/>
      <c r="AD3" s="148"/>
      <c r="AE3" s="152"/>
      <c r="AF3" s="148"/>
      <c r="AG3" s="149" t="s">
        <v>19</v>
      </c>
      <c r="AH3" s="63">
        <f>+Dashboard!C52</f>
        <v>40000</v>
      </c>
      <c r="AI3" s="152"/>
      <c r="AJ3" s="148"/>
      <c r="AK3" s="148"/>
      <c r="AL3" s="148"/>
      <c r="AM3" s="152"/>
      <c r="AN3" s="148"/>
      <c r="AO3" s="149" t="s">
        <v>19</v>
      </c>
      <c r="AP3" s="63">
        <f>+Dashboard!D52</f>
        <v>60000</v>
      </c>
      <c r="AQ3" s="152"/>
      <c r="AR3" s="148"/>
      <c r="AS3" s="148"/>
      <c r="AT3" s="148"/>
      <c r="AU3" s="152"/>
      <c r="AV3" s="148"/>
      <c r="AW3" s="149" t="s">
        <v>19</v>
      </c>
      <c r="AX3" s="63">
        <f>+Dashboard!E52</f>
        <v>40000</v>
      </c>
      <c r="AY3" s="152"/>
      <c r="AZ3" s="148"/>
      <c r="BC3" s="29"/>
    </row>
    <row r="4" spans="1:56" ht="14.45" x14ac:dyDescent="0.3">
      <c r="S4" s="7" t="s">
        <v>81</v>
      </c>
      <c r="T4" s="55">
        <f>+Dashboard!B13</f>
        <v>0.02</v>
      </c>
      <c r="U4" s="148"/>
      <c r="V4" s="148"/>
      <c r="W4" s="148"/>
      <c r="X4" s="148"/>
      <c r="Y4" s="149" t="s">
        <v>17</v>
      </c>
      <c r="Z4" s="55">
        <f>+Dashboard!B53</f>
        <v>0.06</v>
      </c>
      <c r="AA4" s="153"/>
      <c r="AB4" s="153"/>
      <c r="AC4" s="148"/>
      <c r="AD4" s="148"/>
      <c r="AE4" s="153"/>
      <c r="AF4" s="148"/>
      <c r="AG4" s="149" t="s">
        <v>17</v>
      </c>
      <c r="AH4" s="55">
        <f>+Dashboard!C53</f>
        <v>3.5000000000000003E-2</v>
      </c>
      <c r="AI4" s="153"/>
      <c r="AJ4" s="153"/>
      <c r="AK4" s="148"/>
      <c r="AL4" s="148"/>
      <c r="AM4" s="153"/>
      <c r="AN4" s="148"/>
      <c r="AO4" s="149" t="s">
        <v>17</v>
      </c>
      <c r="AP4" s="55">
        <f>+Dashboard!D53</f>
        <v>0.06</v>
      </c>
      <c r="AQ4" s="153"/>
      <c r="AR4" s="153"/>
      <c r="AS4" s="148"/>
      <c r="AT4" s="148"/>
      <c r="AU4" s="153"/>
      <c r="AV4" s="148"/>
      <c r="AW4" s="149" t="s">
        <v>17</v>
      </c>
      <c r="AX4" s="55">
        <f>+Dashboard!E53</f>
        <v>3.5000000000000003E-2</v>
      </c>
      <c r="AY4" s="153"/>
      <c r="AZ4" s="153"/>
      <c r="BC4" s="30"/>
    </row>
    <row r="5" spans="1:56" ht="14.45" x14ac:dyDescent="0.3">
      <c r="S5" s="7" t="s">
        <v>80</v>
      </c>
      <c r="T5" s="55">
        <f>+Dashboard!B14</f>
        <v>0.05</v>
      </c>
      <c r="U5" s="148"/>
      <c r="V5" s="148"/>
      <c r="W5" s="148"/>
      <c r="X5" s="148"/>
      <c r="Y5" s="149" t="s">
        <v>16</v>
      </c>
      <c r="Z5" s="55">
        <f>+Dashboard!B54</f>
        <v>0.02</v>
      </c>
      <c r="AA5" s="153"/>
      <c r="AB5" s="153"/>
      <c r="AC5" s="148"/>
      <c r="AD5" s="148"/>
      <c r="AE5" s="153"/>
      <c r="AF5" s="148"/>
      <c r="AG5" s="149" t="s">
        <v>16</v>
      </c>
      <c r="AH5" s="55">
        <f>+Dashboard!C54</f>
        <v>3.5000000000000003E-2</v>
      </c>
      <c r="AI5" s="153"/>
      <c r="AJ5" s="153"/>
      <c r="AK5" s="148"/>
      <c r="AL5" s="148"/>
      <c r="AM5" s="153"/>
      <c r="AN5" s="148"/>
      <c r="AO5" s="149" t="s">
        <v>16</v>
      </c>
      <c r="AP5" s="55">
        <f>+Dashboard!D54</f>
        <v>0.02</v>
      </c>
      <c r="AQ5" s="153"/>
      <c r="AR5" s="153"/>
      <c r="AS5" s="148"/>
      <c r="AT5" s="148"/>
      <c r="AU5" s="153"/>
      <c r="AV5" s="148"/>
      <c r="AW5" s="149" t="s">
        <v>16</v>
      </c>
      <c r="AX5" s="55">
        <f>+Dashboard!E54</f>
        <v>3.5000000000000003E-2</v>
      </c>
      <c r="AY5" s="153"/>
      <c r="AZ5" s="153"/>
      <c r="BC5" s="30"/>
    </row>
    <row r="6" spans="1:56" ht="14.45" x14ac:dyDescent="0.3">
      <c r="N6" s="141"/>
      <c r="S6" s="18"/>
      <c r="T6" s="148"/>
      <c r="U6" s="148"/>
      <c r="V6" s="148"/>
      <c r="W6" s="148"/>
      <c r="X6" s="148"/>
      <c r="Y6" s="149" t="s">
        <v>76</v>
      </c>
      <c r="Z6" s="55">
        <f>+Dashboard!B55</f>
        <v>0.6</v>
      </c>
      <c r="AA6" s="153"/>
      <c r="AB6" s="153"/>
      <c r="AC6" s="148"/>
      <c r="AD6" s="148"/>
      <c r="AE6" s="153"/>
      <c r="AF6" s="148"/>
      <c r="AG6" s="149" t="s">
        <v>76</v>
      </c>
      <c r="AH6" s="55">
        <f>+Dashboard!C55</f>
        <v>0.4</v>
      </c>
      <c r="AI6" s="153"/>
      <c r="AJ6" s="153"/>
      <c r="AK6" s="148"/>
      <c r="AL6" s="148"/>
      <c r="AM6" s="153"/>
      <c r="AN6" s="148"/>
      <c r="AO6" s="149" t="s">
        <v>76</v>
      </c>
      <c r="AP6" s="55">
        <f>+Dashboard!D55</f>
        <v>0.6</v>
      </c>
      <c r="AQ6" s="153"/>
      <c r="AR6" s="153"/>
      <c r="AS6" s="148"/>
      <c r="AT6" s="148"/>
      <c r="AU6" s="153"/>
      <c r="AV6" s="148"/>
      <c r="AW6" s="149" t="s">
        <v>76</v>
      </c>
      <c r="AX6" s="55">
        <f>+Dashboard!E55</f>
        <v>0.4</v>
      </c>
      <c r="AY6" s="153"/>
      <c r="AZ6" s="153"/>
      <c r="BC6" s="30"/>
    </row>
    <row r="7" spans="1:56" ht="14.45" x14ac:dyDescent="0.3">
      <c r="T7" s="148"/>
      <c r="U7" s="148"/>
      <c r="V7" s="148"/>
      <c r="W7" s="148"/>
      <c r="X7" s="148"/>
      <c r="Y7" s="149" t="s">
        <v>24</v>
      </c>
      <c r="Z7" s="55" t="b">
        <f>+Dashboard!B56</f>
        <v>0</v>
      </c>
      <c r="AA7" s="154" t="b">
        <f t="shared" ref="AA7:AB7" si="0">+Z7</f>
        <v>0</v>
      </c>
      <c r="AB7" s="154" t="b">
        <f t="shared" si="0"/>
        <v>0</v>
      </c>
      <c r="AC7" s="154" t="b">
        <f>+AB7</f>
        <v>0</v>
      </c>
      <c r="AD7" s="155" t="b">
        <f>+AC7</f>
        <v>0</v>
      </c>
      <c r="AE7" s="155" t="b">
        <f>+AD7</f>
        <v>0</v>
      </c>
      <c r="AF7" s="148"/>
      <c r="AG7" s="149" t="s">
        <v>24</v>
      </c>
      <c r="AH7" s="55" t="b">
        <f>+Dashboard!C56</f>
        <v>0</v>
      </c>
      <c r="AI7" s="154" t="b">
        <f t="shared" ref="AI7:AJ7" si="1">+AH7</f>
        <v>0</v>
      </c>
      <c r="AJ7" s="154" t="b">
        <f t="shared" si="1"/>
        <v>0</v>
      </c>
      <c r="AK7" s="154" t="b">
        <f>+AJ7</f>
        <v>0</v>
      </c>
      <c r="AL7" s="155" t="b">
        <f>+AK7</f>
        <v>0</v>
      </c>
      <c r="AM7" s="155" t="b">
        <f>+AL7</f>
        <v>0</v>
      </c>
      <c r="AN7" s="148"/>
      <c r="AO7" s="149" t="s">
        <v>24</v>
      </c>
      <c r="AP7" s="55" t="b">
        <f>+Dashboard!D56</f>
        <v>1</v>
      </c>
      <c r="AQ7" s="154" t="b">
        <f t="shared" ref="AQ7:AR7" si="2">+AP7</f>
        <v>1</v>
      </c>
      <c r="AR7" s="154" t="b">
        <f t="shared" si="2"/>
        <v>1</v>
      </c>
      <c r="AS7" s="154" t="b">
        <f>+AR7</f>
        <v>1</v>
      </c>
      <c r="AT7" s="155" t="b">
        <f>+AS7</f>
        <v>1</v>
      </c>
      <c r="AU7" s="155" t="b">
        <f>+AT7</f>
        <v>1</v>
      </c>
      <c r="AV7" s="148"/>
      <c r="AW7" s="149" t="s">
        <v>24</v>
      </c>
      <c r="AX7" s="55" t="b">
        <f>+Dashboard!E56</f>
        <v>1</v>
      </c>
      <c r="AY7" s="154" t="b">
        <f t="shared" ref="AY7:AZ7" si="3">+AX7</f>
        <v>1</v>
      </c>
      <c r="AZ7" s="154" t="b">
        <f t="shared" si="3"/>
        <v>1</v>
      </c>
      <c r="BA7" s="37" t="b">
        <f>+AZ7</f>
        <v>1</v>
      </c>
      <c r="BB7" s="34" t="b">
        <f>+BA7</f>
        <v>1</v>
      </c>
      <c r="BC7" s="34" t="b">
        <f>+BB7</f>
        <v>1</v>
      </c>
    </row>
    <row r="8" spans="1:56" ht="14.45" x14ac:dyDescent="0.3">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row>
    <row r="9" spans="1:56" ht="18" x14ac:dyDescent="0.35">
      <c r="D9" s="66"/>
      <c r="E9" s="251" t="s">
        <v>124</v>
      </c>
      <c r="F9" s="251"/>
      <c r="G9" s="251"/>
      <c r="H9" s="251"/>
      <c r="I9" s="251"/>
      <c r="J9" s="66"/>
      <c r="K9" s="252" t="s">
        <v>125</v>
      </c>
      <c r="L9" s="252"/>
      <c r="M9" s="252"/>
      <c r="N9" s="252"/>
      <c r="O9" s="66"/>
      <c r="P9" s="253" t="s">
        <v>148</v>
      </c>
      <c r="Q9" s="253"/>
      <c r="R9" s="66"/>
      <c r="S9" s="254" t="s">
        <v>91</v>
      </c>
      <c r="T9" s="254"/>
      <c r="U9" s="254"/>
      <c r="V9" s="254"/>
      <c r="W9" s="126"/>
      <c r="X9" s="66"/>
      <c r="Y9" s="250" t="str">
        <f>"Investment 1:  "&amp;Z2</f>
        <v>Investment 1:  Stocks</v>
      </c>
      <c r="Z9" s="250"/>
      <c r="AA9" s="250"/>
      <c r="AB9" s="250"/>
      <c r="AC9" s="250"/>
      <c r="AD9" s="250"/>
      <c r="AE9" s="250"/>
      <c r="AF9" s="66"/>
      <c r="AG9" s="250" t="str">
        <f>AG2&amp;"  "&amp;AH2</f>
        <v>Investment 2:  Bonds</v>
      </c>
      <c r="AH9" s="250"/>
      <c r="AI9" s="250"/>
      <c r="AJ9" s="250"/>
      <c r="AK9" s="250"/>
      <c r="AL9" s="250"/>
      <c r="AM9" s="250"/>
      <c r="AN9" s="66"/>
      <c r="AO9" s="250" t="str">
        <f>AO2&amp;"  "&amp;AP2</f>
        <v>Investment 3:  401K Stocks</v>
      </c>
      <c r="AP9" s="250"/>
      <c r="AQ9" s="250"/>
      <c r="AR9" s="250"/>
      <c r="AS9" s="250"/>
      <c r="AT9" s="250"/>
      <c r="AU9" s="250"/>
      <c r="AV9" s="66"/>
      <c r="AW9" s="250" t="str">
        <f>AW2&amp;"  "&amp;AX2</f>
        <v>Investment 4:  401K Bonds</v>
      </c>
      <c r="AX9" s="250"/>
      <c r="AY9" s="250"/>
      <c r="AZ9" s="250"/>
      <c r="BA9" s="250"/>
      <c r="BB9" s="250"/>
      <c r="BC9" s="250"/>
      <c r="BD9" s="66"/>
    </row>
    <row r="10" spans="1:56" ht="43.15" x14ac:dyDescent="0.3">
      <c r="A10" s="45" t="s">
        <v>5</v>
      </c>
      <c r="B10" s="45" t="s">
        <v>4</v>
      </c>
      <c r="C10" s="45" t="s">
        <v>84</v>
      </c>
      <c r="D10" s="66"/>
      <c r="E10" s="31" t="s">
        <v>147</v>
      </c>
      <c r="F10" s="31" t="s">
        <v>75</v>
      </c>
      <c r="G10" s="31" t="s">
        <v>239</v>
      </c>
      <c r="H10" s="31" t="s">
        <v>206</v>
      </c>
      <c r="I10" s="31" t="s">
        <v>132</v>
      </c>
      <c r="J10" s="66"/>
      <c r="K10" s="72" t="s">
        <v>126</v>
      </c>
      <c r="L10" s="72" t="s">
        <v>74</v>
      </c>
      <c r="M10" s="33" t="s">
        <v>127</v>
      </c>
      <c r="N10" s="33" t="s">
        <v>128</v>
      </c>
      <c r="O10" s="66"/>
      <c r="P10" s="69" t="s">
        <v>71</v>
      </c>
      <c r="Q10" s="69" t="s">
        <v>213</v>
      </c>
      <c r="R10" s="66"/>
      <c r="S10" s="8" t="s">
        <v>7</v>
      </c>
      <c r="T10" s="8" t="s">
        <v>234</v>
      </c>
      <c r="U10" s="35" t="s">
        <v>123</v>
      </c>
      <c r="V10" s="35" t="s">
        <v>78</v>
      </c>
      <c r="W10" s="35" t="s">
        <v>209</v>
      </c>
      <c r="X10" s="66"/>
      <c r="Y10" s="8" t="s">
        <v>13</v>
      </c>
      <c r="Z10" s="8" t="s">
        <v>20</v>
      </c>
      <c r="AA10" s="35" t="s">
        <v>211</v>
      </c>
      <c r="AB10" s="35" t="s">
        <v>67</v>
      </c>
      <c r="AC10" s="8" t="s">
        <v>68</v>
      </c>
      <c r="AD10" s="35" t="s">
        <v>210</v>
      </c>
      <c r="AE10" s="35" t="s">
        <v>122</v>
      </c>
      <c r="AF10" s="66"/>
      <c r="AG10" s="8" t="s">
        <v>13</v>
      </c>
      <c r="AH10" s="8" t="s">
        <v>20</v>
      </c>
      <c r="AI10" s="35" t="s">
        <v>211</v>
      </c>
      <c r="AJ10" s="35" t="s">
        <v>67</v>
      </c>
      <c r="AK10" s="8" t="s">
        <v>68</v>
      </c>
      <c r="AL10" s="35" t="s">
        <v>210</v>
      </c>
      <c r="AM10" s="35" t="s">
        <v>122</v>
      </c>
      <c r="AN10" s="66"/>
      <c r="AO10" s="8" t="s">
        <v>13</v>
      </c>
      <c r="AP10" s="8" t="s">
        <v>20</v>
      </c>
      <c r="AQ10" s="35" t="s">
        <v>211</v>
      </c>
      <c r="AR10" s="35" t="s">
        <v>67</v>
      </c>
      <c r="AS10" s="8" t="s">
        <v>68</v>
      </c>
      <c r="AT10" s="35" t="s">
        <v>210</v>
      </c>
      <c r="AU10" s="35" t="s">
        <v>122</v>
      </c>
      <c r="AV10" s="66"/>
      <c r="AW10" s="8" t="s">
        <v>13</v>
      </c>
      <c r="AX10" s="8" t="s">
        <v>20</v>
      </c>
      <c r="AY10" s="35" t="s">
        <v>211</v>
      </c>
      <c r="AZ10" s="35" t="s">
        <v>67</v>
      </c>
      <c r="BA10" s="8" t="s">
        <v>68</v>
      </c>
      <c r="BB10" s="35" t="s">
        <v>210</v>
      </c>
      <c r="BC10" s="35" t="s">
        <v>122</v>
      </c>
      <c r="BD10" s="66"/>
    </row>
    <row r="11" spans="1:56" ht="14.45" x14ac:dyDescent="0.3">
      <c r="A11" s="14">
        <v>0</v>
      </c>
      <c r="B11" s="14">
        <f>+age+A11</f>
        <v>40</v>
      </c>
      <c r="C11" s="38">
        <f t="shared" ref="C11:C74" si="4">+(1+inflation)^A11</f>
        <v>1</v>
      </c>
      <c r="D11" s="66"/>
      <c r="E11" s="32">
        <f t="shared" ref="E11:E12" ca="1" si="5">+SUM(F11:H11)</f>
        <v>190394.01544401544</v>
      </c>
      <c r="F11" s="32">
        <f>+V11</f>
        <v>10000</v>
      </c>
      <c r="G11" s="32">
        <f>SUMIFS(11:11,$10:$10,"Ending Balance",$7:$7,FALSE)</f>
        <v>100000</v>
      </c>
      <c r="H11" s="32">
        <f ca="1">I11*(1-IF(OR(Income!P10="NA",Income!P10=0),0.2,Income!P10))</f>
        <v>80394.015444015444</v>
      </c>
      <c r="I11" s="32">
        <f>SUMIFS(11:11,$10:$10,"Ending Balance",$7:$7,TRUE)</f>
        <v>100000</v>
      </c>
      <c r="J11" s="66"/>
      <c r="K11" s="73"/>
      <c r="L11" s="73"/>
      <c r="M11" s="4"/>
      <c r="N11" s="4"/>
      <c r="O11" s="66"/>
      <c r="P11" s="70"/>
      <c r="Q11" s="70"/>
      <c r="R11" s="66"/>
      <c r="S11" s="9"/>
      <c r="T11" s="9"/>
      <c r="U11" s="9"/>
      <c r="V11" s="9">
        <f>+T2</f>
        <v>10000</v>
      </c>
      <c r="W11" s="9"/>
      <c r="X11" s="66"/>
      <c r="Y11" s="9"/>
      <c r="Z11" s="9"/>
      <c r="AA11" s="9"/>
      <c r="AB11" s="142"/>
      <c r="AC11" s="142">
        <f>+Z3</f>
        <v>60000</v>
      </c>
      <c r="AD11" s="9">
        <f>+Y11</f>
        <v>0</v>
      </c>
      <c r="AE11" s="9"/>
      <c r="AF11" s="66"/>
      <c r="AG11" s="9"/>
      <c r="AH11" s="9"/>
      <c r="AI11" s="9"/>
      <c r="AJ11" s="142"/>
      <c r="AK11" s="142">
        <f>+AH3</f>
        <v>40000</v>
      </c>
      <c r="AL11" s="9">
        <f>+AG11</f>
        <v>0</v>
      </c>
      <c r="AM11" s="9"/>
      <c r="AN11" s="66"/>
      <c r="AO11" s="9"/>
      <c r="AP11" s="9"/>
      <c r="AQ11" s="9"/>
      <c r="AR11" s="142"/>
      <c r="AS11" s="142">
        <f>+AP3</f>
        <v>60000</v>
      </c>
      <c r="AT11" s="9">
        <f>+AO11</f>
        <v>0</v>
      </c>
      <c r="AU11" s="9"/>
      <c r="AV11" s="66"/>
      <c r="AW11" s="9"/>
      <c r="AX11" s="9"/>
      <c r="AY11" s="9"/>
      <c r="AZ11" s="142"/>
      <c r="BA11" s="142">
        <f>+AX3</f>
        <v>40000</v>
      </c>
      <c r="BB11" s="9">
        <f>+AW11</f>
        <v>0</v>
      </c>
      <c r="BC11" s="9"/>
      <c r="BD11" s="66"/>
    </row>
    <row r="12" spans="1:56" ht="14.45" x14ac:dyDescent="0.3">
      <c r="A12" s="14">
        <f>+A11+1</f>
        <v>1</v>
      </c>
      <c r="B12" s="14">
        <f>+B11+1</f>
        <v>41</v>
      </c>
      <c r="C12" s="38">
        <f t="shared" si="4"/>
        <v>1.02</v>
      </c>
      <c r="D12" s="66"/>
      <c r="E12" s="32">
        <f t="shared" ca="1" si="5"/>
        <v>194713.81712594657</v>
      </c>
      <c r="F12" s="32">
        <f ca="1">+V12</f>
        <v>25500</v>
      </c>
      <c r="G12" s="32">
        <f>SUMIFS(12:12,$10:$10,"Ending Balance",$7:$7,FALSE)</f>
        <v>88819.801681931131</v>
      </c>
      <c r="H12" s="32">
        <f ca="1">I12*(1-IF(OR(Income!P11="NA",Income!P11=0),0.2,Income!P11))</f>
        <v>80394.015444015444</v>
      </c>
      <c r="I12" s="32">
        <f>SUMIFS(12:12,$10:$10,"Ending Balance",$7:$7,TRUE)</f>
        <v>100000</v>
      </c>
      <c r="J12" s="66"/>
      <c r="K12" s="74">
        <f>Income!M11+Dashboard!I64+Dashboard!K64-Taxes!BR17</f>
        <v>4319.8016819311306</v>
      </c>
      <c r="L12" s="74">
        <f t="shared" ref="L12" si="6">+K12-SUM(M12:N12)</f>
        <v>15500</v>
      </c>
      <c r="M12" s="5">
        <f>MAX(W12+K12,-G11)-IF(W12+K12&gt;0,N12,0)</f>
        <v>-11180.198318068869</v>
      </c>
      <c r="N12" s="5">
        <f>MAX(MIN(Target401K*C12,SUM(Income!D11:J11),W12+K12),-I11)+IF(W12+K12&lt;0,-M12,0)</f>
        <v>0</v>
      </c>
      <c r="O12" s="66"/>
      <c r="P12" s="71">
        <f>+SUMIFS(12:12,$10:$10,"Dividend",$7:$7,FALSE)+S12</f>
        <v>2800</v>
      </c>
      <c r="Q12" s="71">
        <f ca="1">+SUMIFS(12:12,$10:$10,"Gains Taxed This Year",$7:$7,FALSE)</f>
        <v>0</v>
      </c>
      <c r="R12" s="66"/>
      <c r="S12" s="9">
        <f t="shared" ref="S12" si="7">+IF(V11&lt;0,T$5,T$4)*V11</f>
        <v>200</v>
      </c>
      <c r="T12" s="9">
        <f>L12</f>
        <v>15500</v>
      </c>
      <c r="U12" s="9">
        <f ca="1">+Taxes!L17</f>
        <v>0</v>
      </c>
      <c r="V12" s="9">
        <f t="shared" ref="V12" ca="1" si="8">+V11+T12-U12</f>
        <v>25500</v>
      </c>
      <c r="W12" s="9">
        <f>+V11-$T$3*C12</f>
        <v>-15500</v>
      </c>
      <c r="X12" s="66"/>
      <c r="Y12" s="9">
        <f>+AC11*(Z$4-IF(Z$7,0,Z$5))</f>
        <v>2399.9999999999995</v>
      </c>
      <c r="Z12" s="9">
        <f>+AC11*IF(Z$7,0,Z$5)</f>
        <v>1200</v>
      </c>
      <c r="AA12" s="9">
        <f>+AC11+Y12</f>
        <v>62400</v>
      </c>
      <c r="AB12" s="9">
        <f xml:space="preserve"> (Z$6*SUMIFS(11:11,$10:$10,"Ending Balance",$7:$7,Z$7)-AA12)+Z$6*IF(Z$7,$N12,$M12)</f>
        <v>-9108.1189908413216</v>
      </c>
      <c r="AC12" s="9">
        <f>+AC11*(1+Z$4-IF(Z$7,0,Z$5))+AB12</f>
        <v>53291.881009158678</v>
      </c>
      <c r="AD12" s="9">
        <f>+AD11+Y12-AE11</f>
        <v>2399.9999999999995</v>
      </c>
      <c r="AE12" s="9" t="str">
        <f t="shared" ref="AE12:AE43" ca="1" si="9">IF(Message&lt;&gt;"",Message,IF(AA12*AD12=0,0,+IF(AB12&lt;0,-AB12/AA12*AD12,0)))</f>
        <v>EXPIRED</v>
      </c>
      <c r="AF12" s="66"/>
      <c r="AG12" s="9">
        <f>+AK11*(AH$4-IF(AH$7,0,AH$5))</f>
        <v>0</v>
      </c>
      <c r="AH12" s="9">
        <f>+AK11*IF(AH$7,0,AH$5)</f>
        <v>1400.0000000000002</v>
      </c>
      <c r="AI12" s="9">
        <f>+AK11+AG12</f>
        <v>40000</v>
      </c>
      <c r="AJ12" s="9">
        <f xml:space="preserve"> (AH$6*SUMIFS(11:11,$10:$10,"Ending Balance",$7:$7,AH$7)-AI12)+AH$6*IF(AH$7,$N12,$M12)</f>
        <v>-4472.0793272275478</v>
      </c>
      <c r="AK12" s="9">
        <f>+AK11*(1+AH$4-IF(AH$7,0,AH$5))+AJ12</f>
        <v>35527.920672772445</v>
      </c>
      <c r="AL12" s="9">
        <f>+AL11+AG12-AM11</f>
        <v>0</v>
      </c>
      <c r="AM12" s="9" t="str">
        <f t="shared" ref="AM12:AM43" ca="1" si="10">IF(Message&lt;&gt;"",Message,IF(AI12*AL12=0,0,+IF(AJ12&lt;0,-AJ12/AI12*AL12,0)))</f>
        <v>EXPIRED</v>
      </c>
      <c r="AN12" s="66"/>
      <c r="AO12" s="9">
        <f>+AS11*(AP$4-IF(AP$7,0,AP$5))</f>
        <v>3600</v>
      </c>
      <c r="AP12" s="9">
        <f>+AS11*IF(AP$7,0,AP$5)</f>
        <v>0</v>
      </c>
      <c r="AQ12" s="9">
        <f>+AS11+AO12</f>
        <v>63600</v>
      </c>
      <c r="AR12" s="9">
        <f xml:space="preserve"> (AP$6*SUMIFS(11:11,$10:$10,"Ending Balance",$7:$7,AP$7)-AQ12)+AP$6*IF(AP$7,$N12,$M12)</f>
        <v>-3600</v>
      </c>
      <c r="AS12" s="9">
        <f>+AS11*(1+AP$4-IF(AP$7,0,AP$5))+AR12</f>
        <v>60000</v>
      </c>
      <c r="AT12" s="9">
        <f>+AT11+AO12-AU11</f>
        <v>3600</v>
      </c>
      <c r="AU12" s="9" t="str">
        <f t="shared" ref="AU12:AU43" ca="1" si="11">IF(Message&lt;&gt;"",Message,IF(AQ12*AT12=0,0,+IF(AR12&lt;0,-AR12/AQ12*AT12,0)))</f>
        <v>EXPIRED</v>
      </c>
      <c r="AV12" s="66"/>
      <c r="AW12" s="9">
        <f>+BA11*(AX$4-IF(AX$7,0,AX$5))</f>
        <v>1400.0000000000002</v>
      </c>
      <c r="AX12" s="9">
        <f>+BA11*IF(AX$7,0,AX$5)</f>
        <v>0</v>
      </c>
      <c r="AY12" s="9">
        <f>+BA11+AW12</f>
        <v>41400</v>
      </c>
      <c r="AZ12" s="9">
        <f xml:space="preserve"> (AX$6*SUMIFS(11:11,$10:$10,"Ending Balance",$7:$7,AX$7)-AY12)+AX$6*IF(AX$7,$N12,$M12)</f>
        <v>-1400</v>
      </c>
      <c r="BA12" s="9">
        <f>+BA11*(1+AX$4-IF(AX$7,0,AX$5))+AZ12</f>
        <v>40000</v>
      </c>
      <c r="BB12" s="9">
        <f>+BB11+AW12-BC11</f>
        <v>1400.0000000000002</v>
      </c>
      <c r="BC12" s="9" t="str">
        <f t="shared" ref="BC12:BC43" ca="1" si="12">IF(Message&lt;&gt;"",Message,IF(AY12*BB12=0,0,+IF(AZ12&lt;0,-AZ12/AY12*BB12,0)))</f>
        <v>EXPIRED</v>
      </c>
      <c r="BD12" s="66"/>
    </row>
    <row r="13" spans="1:56" ht="14.45" x14ac:dyDescent="0.3">
      <c r="A13" s="14">
        <f t="shared" ref="A13:B28" si="13">+A12+1</f>
        <v>2</v>
      </c>
      <c r="B13" s="14">
        <f t="shared" si="13"/>
        <v>42</v>
      </c>
      <c r="C13" s="38">
        <f t="shared" si="4"/>
        <v>1.0404</v>
      </c>
      <c r="D13" s="66"/>
      <c r="E13" s="32">
        <f t="shared" ref="E13:E16" ca="1" si="14">+SUM(F13:H13)</f>
        <v>201849.63116190376</v>
      </c>
      <c r="F13" s="32">
        <f t="shared" ref="F13:F16" ca="1" si="15">+V13</f>
        <v>26010</v>
      </c>
      <c r="G13" s="32">
        <f t="shared" ref="G13:G16" ca="1" si="16">SUMIFS(13:13,$10:$10,"Ending Balance",$7:$7,FALSE)</f>
        <v>88819.801681931131</v>
      </c>
      <c r="H13" s="32">
        <f ca="1">I13*(1-IF(OR(Income!P12="NA",Income!P12=0),0.2,Income!P12))</f>
        <v>87019.829479972628</v>
      </c>
      <c r="I13" s="32">
        <f t="shared" ref="I13:I16" ca="1" si="17">SUMIFS(13:13,$10:$10,"Ending Balance",$7:$7,TRUE)</f>
        <v>107863.06684980882</v>
      </c>
      <c r="J13" s="66"/>
      <c r="K13" s="74">
        <f ca="1">Income!M12+Dashboard!I65+Dashboard!K65-Taxes!BR18</f>
        <v>8373.0668498088235</v>
      </c>
      <c r="L13" s="74">
        <f t="shared" ref="L13:L16" ca="1" si="18">+K13-SUM(M13:N13)</f>
        <v>510</v>
      </c>
      <c r="M13" s="5">
        <f t="shared" ref="M13:M16" ca="1" si="19">MAX(W13+K13,-G12)-IF(W13+K13&gt;0,N13,0)</f>
        <v>0</v>
      </c>
      <c r="N13" s="5">
        <f ca="1">MAX(MIN(Target401K*C13,SUM(Income!D12:J12),W13+K13),-I12)+IF(W13+K13&lt;0,-M13,0)</f>
        <v>7863.0668498088235</v>
      </c>
      <c r="O13" s="66"/>
      <c r="P13" s="71">
        <f t="shared" ref="P13:P16" ca="1" si="20">+SUMIFS(13:13,$10:$10,"Dividend",$7:$7,FALSE)+S13</f>
        <v>2819.3148437302093</v>
      </c>
      <c r="Q13" s="71">
        <f t="shared" ref="Q13:Q16" ca="1" si="21">+SUMIFS(13:13,$10:$10,"Gains Taxed This Year",$7:$7,FALSE)</f>
        <v>0</v>
      </c>
      <c r="R13" s="66"/>
      <c r="S13" s="9">
        <f t="shared" ref="S13:S16" ca="1" si="22">+IF(V12&lt;0,T$5,T$4)*V12</f>
        <v>510</v>
      </c>
      <c r="T13" s="9">
        <f t="shared" ref="T13:T17" ca="1" si="23">L13</f>
        <v>510</v>
      </c>
      <c r="U13" s="9">
        <f ca="1">+Taxes!L18</f>
        <v>0</v>
      </c>
      <c r="V13" s="9">
        <f t="shared" ref="V13:V16" ca="1" si="24">+V12+T13-U13</f>
        <v>26010</v>
      </c>
      <c r="W13" s="9">
        <f t="shared" ref="W13:W17" ca="1" si="25">+V12-$T$3*C13</f>
        <v>-510</v>
      </c>
      <c r="X13" s="66"/>
      <c r="Y13" s="9">
        <f t="shared" ref="Y13:Y16" si="26">+AC12*(Z$4-IF(Z$7,0,Z$5))</f>
        <v>2131.6752403663468</v>
      </c>
      <c r="Z13" s="9">
        <f t="shared" ref="Z13:Z16" si="27">+AC12*IF(Z$7,0,Z$5)</f>
        <v>1065.8376201831736</v>
      </c>
      <c r="AA13" s="9">
        <f t="shared" ref="AA13:AA16" si="28">+AC12+Y13</f>
        <v>55423.556249525027</v>
      </c>
      <c r="AB13" s="9">
        <f t="shared" ref="AB13:AB16" ca="1" si="29" xml:space="preserve"> (Z$6*SUMIFS(12:12,$10:$10,"Ending Balance",$7:$7,Z$7)-AA13)+Z$6*IF(Z$7,$N13,$M13)</f>
        <v>-2131.6752403663486</v>
      </c>
      <c r="AC13" s="9">
        <f t="shared" ref="AC13:AC16" ca="1" si="30">+AC12*(1+Z$4-IF(Z$7,0,Z$5))+AB13</f>
        <v>53291.881009158678</v>
      </c>
      <c r="AD13" s="9" t="e">
        <f t="shared" ref="AD13:AD16" ca="1" si="31">+AD12+Y13-AE12</f>
        <v>#VALUE!</v>
      </c>
      <c r="AE13" s="9" t="str">
        <f t="shared" ca="1" si="9"/>
        <v>EXPIRED</v>
      </c>
      <c r="AF13" s="66"/>
      <c r="AG13" s="9">
        <f t="shared" ref="AG13:AG16" si="32">+AK12*(AH$4-IF(AH$7,0,AH$5))</f>
        <v>0</v>
      </c>
      <c r="AH13" s="9">
        <f t="shared" ref="AH13:AH16" si="33">+AK12*IF(AH$7,0,AH$5)</f>
        <v>1243.4772235470357</v>
      </c>
      <c r="AI13" s="9">
        <f t="shared" ref="AI13:AI16" si="34">+AK12+AG13</f>
        <v>35527.920672772445</v>
      </c>
      <c r="AJ13" s="9">
        <f t="shared" ref="AJ13:AJ16" ca="1" si="35" xml:space="preserve"> (AH$6*SUMIFS(12:12,$10:$10,"Ending Balance",$7:$7,AH$7)-AI13)+AH$6*IF(AH$7,$N13,$M13)</f>
        <v>7.2759576141834259E-12</v>
      </c>
      <c r="AK13" s="9">
        <f t="shared" ref="AK13:AK16" ca="1" si="36">+AK12*(1+AH$4-IF(AH$7,0,AH$5))+AJ13</f>
        <v>35527.920672772445</v>
      </c>
      <c r="AL13" s="9" t="e">
        <f t="shared" ref="AL13:AL16" ca="1" si="37">+AL12+AG13-AM12</f>
        <v>#VALUE!</v>
      </c>
      <c r="AM13" s="9" t="str">
        <f t="shared" ca="1" si="10"/>
        <v>EXPIRED</v>
      </c>
      <c r="AN13" s="66"/>
      <c r="AO13" s="9">
        <f t="shared" ref="AO13:AO16" si="38">+AS12*(AP$4-IF(AP$7,0,AP$5))</f>
        <v>3600</v>
      </c>
      <c r="AP13" s="9">
        <f t="shared" ref="AP13:AP16" si="39">+AS12*IF(AP$7,0,AP$5)</f>
        <v>0</v>
      </c>
      <c r="AQ13" s="9">
        <f t="shared" ref="AQ13:AQ16" si="40">+AS12+AO13</f>
        <v>63600</v>
      </c>
      <c r="AR13" s="9">
        <f t="shared" ref="AR13:AR16" ca="1" si="41" xml:space="preserve"> (AP$6*SUMIFS(12:12,$10:$10,"Ending Balance",$7:$7,AP$7)-AQ13)+AP$6*IF(AP$7,$N13,$M13)</f>
        <v>1117.8401098852937</v>
      </c>
      <c r="AS13" s="9">
        <f t="shared" ref="AS13:AS16" ca="1" si="42">+AS12*(1+AP$4-IF(AP$7,0,AP$5))+AR13</f>
        <v>64717.840109885292</v>
      </c>
      <c r="AT13" s="9" t="e">
        <f t="shared" ref="AT13:AT16" ca="1" si="43">+AT12+AO13-AU12</f>
        <v>#VALUE!</v>
      </c>
      <c r="AU13" s="9" t="str">
        <f t="shared" ca="1" si="11"/>
        <v>EXPIRED</v>
      </c>
      <c r="AV13" s="66"/>
      <c r="AW13" s="9">
        <f t="shared" ref="AW13:AW16" si="44">+BA12*(AX$4-IF(AX$7,0,AX$5))</f>
        <v>1400.0000000000002</v>
      </c>
      <c r="AX13" s="9">
        <f t="shared" ref="AX13:AX16" si="45">+BA12*IF(AX$7,0,AX$5)</f>
        <v>0</v>
      </c>
      <c r="AY13" s="9">
        <f t="shared" ref="AY13:AY16" si="46">+BA12+AW13</f>
        <v>41400</v>
      </c>
      <c r="AZ13" s="9">
        <f t="shared" ref="AZ13:AZ16" ca="1" si="47" xml:space="preserve"> (AX$6*SUMIFS(12:12,$10:$10,"Ending Balance",$7:$7,AX$7)-AY13)+AX$6*IF(AX$7,$N13,$M13)</f>
        <v>1745.2267399235297</v>
      </c>
      <c r="BA13" s="9">
        <f t="shared" ref="BA13:BA16" ca="1" si="48">+BA12*(1+AX$4-IF(AX$7,0,AX$5))+AZ13</f>
        <v>43145.226739923528</v>
      </c>
      <c r="BB13" s="9" t="e">
        <f t="shared" ref="BB13:BB16" ca="1" si="49">+BB12+AW13-BC12</f>
        <v>#VALUE!</v>
      </c>
      <c r="BC13" s="9" t="str">
        <f t="shared" ca="1" si="12"/>
        <v>EXPIRED</v>
      </c>
      <c r="BD13" s="66"/>
    </row>
    <row r="14" spans="1:56" ht="14.45" x14ac:dyDescent="0.3">
      <c r="A14" s="14">
        <f t="shared" si="13"/>
        <v>3</v>
      </c>
      <c r="B14" s="14">
        <f t="shared" si="13"/>
        <v>43</v>
      </c>
      <c r="C14" s="38">
        <f t="shared" si="4"/>
        <v>1.0612079999999999</v>
      </c>
      <c r="D14" s="66"/>
      <c r="E14" s="32">
        <f t="shared" ca="1" si="14"/>
        <v>211961.41736945507</v>
      </c>
      <c r="F14" s="32">
        <f t="shared" ca="1" si="15"/>
        <v>26530.199999999997</v>
      </c>
      <c r="G14" s="32">
        <f t="shared" ca="1" si="16"/>
        <v>88819.801681931131</v>
      </c>
      <c r="H14" s="32">
        <f ca="1">I14*(1-IF(OR(Income!P13="NA",Income!P13=0),0.2,Income!P13))</f>
        <v>96611.415687523942</v>
      </c>
      <c r="I14" s="32">
        <f t="shared" ca="1" si="17"/>
        <v>120109.00899216649</v>
      </c>
      <c r="J14" s="66"/>
      <c r="K14" s="74">
        <f ca="1">Income!M13+Dashboard!I66+Dashboard!K66-Taxes!BR19</f>
        <v>12766.142142357676</v>
      </c>
      <c r="L14" s="74">
        <f t="shared" ca="1" si="18"/>
        <v>520.19999999999709</v>
      </c>
      <c r="M14" s="5">
        <f t="shared" ca="1" si="19"/>
        <v>0</v>
      </c>
      <c r="N14" s="5">
        <f ca="1">MAX(MIN(Target401K*C14,SUM(Income!D13:J13),W14+K14),-I13)+IF(W14+K14&lt;0,-M14,0)</f>
        <v>12245.942142357679</v>
      </c>
      <c r="O14" s="66"/>
      <c r="P14" s="71">
        <f t="shared" ca="1" si="20"/>
        <v>2829.5148437302096</v>
      </c>
      <c r="Q14" s="71">
        <f t="shared" ca="1" si="21"/>
        <v>0</v>
      </c>
      <c r="R14" s="66"/>
      <c r="S14" s="9">
        <f t="shared" ca="1" si="22"/>
        <v>520.20000000000005</v>
      </c>
      <c r="T14" s="9">
        <f t="shared" ca="1" si="23"/>
        <v>520.19999999999709</v>
      </c>
      <c r="U14" s="9">
        <f ca="1">+Taxes!L19</f>
        <v>0</v>
      </c>
      <c r="V14" s="9">
        <f t="shared" ca="1" si="24"/>
        <v>26530.199999999997</v>
      </c>
      <c r="W14" s="9">
        <f t="shared" ca="1" si="25"/>
        <v>-520.19999999999709</v>
      </c>
      <c r="X14" s="66"/>
      <c r="Y14" s="9">
        <f t="shared" ca="1" si="26"/>
        <v>2131.6752403663468</v>
      </c>
      <c r="Z14" s="9">
        <f t="shared" ca="1" si="27"/>
        <v>1065.8376201831736</v>
      </c>
      <c r="AA14" s="9">
        <f t="shared" ca="1" si="28"/>
        <v>55423.556249525027</v>
      </c>
      <c r="AB14" s="9">
        <f t="shared" ca="1" si="29"/>
        <v>-2131.6752403663486</v>
      </c>
      <c r="AC14" s="9">
        <f t="shared" ca="1" si="30"/>
        <v>53291.881009158678</v>
      </c>
      <c r="AD14" s="9" t="e">
        <f t="shared" ca="1" si="31"/>
        <v>#VALUE!</v>
      </c>
      <c r="AE14" s="9" t="str">
        <f t="shared" ca="1" si="9"/>
        <v>EXPIRED</v>
      </c>
      <c r="AF14" s="66"/>
      <c r="AG14" s="9">
        <f t="shared" ca="1" si="32"/>
        <v>0</v>
      </c>
      <c r="AH14" s="9">
        <f t="shared" ca="1" si="33"/>
        <v>1243.4772235470357</v>
      </c>
      <c r="AI14" s="9">
        <f t="shared" ca="1" si="34"/>
        <v>35527.920672772445</v>
      </c>
      <c r="AJ14" s="9">
        <f t="shared" ca="1" si="35"/>
        <v>7.2759576141834259E-12</v>
      </c>
      <c r="AK14" s="9">
        <f t="shared" ca="1" si="36"/>
        <v>35527.920672772445</v>
      </c>
      <c r="AL14" s="9" t="e">
        <f t="shared" ca="1" si="37"/>
        <v>#VALUE!</v>
      </c>
      <c r="AM14" s="9" t="str">
        <f t="shared" ca="1" si="10"/>
        <v>EXPIRED</v>
      </c>
      <c r="AN14" s="66"/>
      <c r="AO14" s="9">
        <f t="shared" ca="1" si="38"/>
        <v>3883.0704065931172</v>
      </c>
      <c r="AP14" s="9">
        <f t="shared" ca="1" si="39"/>
        <v>0</v>
      </c>
      <c r="AQ14" s="9">
        <f t="shared" ca="1" si="40"/>
        <v>68600.910516478412</v>
      </c>
      <c r="AR14" s="9">
        <f t="shared" ca="1" si="41"/>
        <v>3464.494878821487</v>
      </c>
      <c r="AS14" s="9">
        <f t="shared" ca="1" si="42"/>
        <v>72065.405395299895</v>
      </c>
      <c r="AT14" s="9" t="e">
        <f t="shared" ca="1" si="43"/>
        <v>#VALUE!</v>
      </c>
      <c r="AU14" s="9" t="str">
        <f t="shared" ca="1" si="11"/>
        <v>EXPIRED</v>
      </c>
      <c r="AV14" s="66"/>
      <c r="AW14" s="9">
        <f t="shared" ca="1" si="44"/>
        <v>1510.0829358973235</v>
      </c>
      <c r="AX14" s="9">
        <f t="shared" ca="1" si="45"/>
        <v>0</v>
      </c>
      <c r="AY14" s="9">
        <f t="shared" ca="1" si="46"/>
        <v>44655.309675820848</v>
      </c>
      <c r="AZ14" s="9">
        <f t="shared" ca="1" si="47"/>
        <v>3388.2939210457507</v>
      </c>
      <c r="BA14" s="9">
        <f t="shared" ca="1" si="48"/>
        <v>48043.603596866596</v>
      </c>
      <c r="BB14" s="9" t="e">
        <f t="shared" ca="1" si="49"/>
        <v>#VALUE!</v>
      </c>
      <c r="BC14" s="9" t="str">
        <f t="shared" ca="1" si="12"/>
        <v>EXPIRED</v>
      </c>
      <c r="BD14" s="66"/>
    </row>
    <row r="15" spans="1:56" ht="14.45" x14ac:dyDescent="0.3">
      <c r="A15" s="14">
        <f t="shared" si="13"/>
        <v>4</v>
      </c>
      <c r="B15" s="14">
        <f t="shared" si="13"/>
        <v>44</v>
      </c>
      <c r="C15" s="38">
        <f t="shared" si="4"/>
        <v>1.08243216</v>
      </c>
      <c r="D15" s="66"/>
      <c r="E15" s="32">
        <f t="shared" ca="1" si="14"/>
        <v>225799.6768055599</v>
      </c>
      <c r="F15" s="32">
        <f t="shared" ca="1" si="15"/>
        <v>27060.804</v>
      </c>
      <c r="G15" s="32">
        <f t="shared" ca="1" si="16"/>
        <v>88819.801681931131</v>
      </c>
      <c r="H15" s="32">
        <f ca="1">I15*(1-IF(OR(Income!P14="NA",Income!P14=0),0.2,Income!P14))</f>
        <v>109919.07112362878</v>
      </c>
      <c r="I15" s="32">
        <f t="shared" ca="1" si="17"/>
        <v>137078.97173825515</v>
      </c>
      <c r="J15" s="66"/>
      <c r="K15" s="74">
        <f ca="1">Income!M14+Dashboard!I67+Dashboard!K67-Taxes!BR20</f>
        <v>17500.566746088662</v>
      </c>
      <c r="L15" s="74">
        <f t="shared" ca="1" si="18"/>
        <v>530.604000000003</v>
      </c>
      <c r="M15" s="5">
        <f t="shared" ca="1" si="19"/>
        <v>0</v>
      </c>
      <c r="N15" s="5">
        <f ca="1">MAX(MIN(Target401K*C15,SUM(Income!D14:J14),W15+K15),-I14)+IF(W15+K15&lt;0,-M15,0)</f>
        <v>16969.962746088659</v>
      </c>
      <c r="O15" s="66"/>
      <c r="P15" s="71">
        <f t="shared" ca="1" si="20"/>
        <v>2839.9188437302091</v>
      </c>
      <c r="Q15" s="71">
        <f t="shared" ca="1" si="21"/>
        <v>0</v>
      </c>
      <c r="R15" s="66"/>
      <c r="S15" s="9">
        <f t="shared" ca="1" si="22"/>
        <v>530.60399999999993</v>
      </c>
      <c r="T15" s="9">
        <f t="shared" ca="1" si="23"/>
        <v>530.604000000003</v>
      </c>
      <c r="U15" s="9">
        <f ca="1">+Taxes!L20</f>
        <v>0</v>
      </c>
      <c r="V15" s="9">
        <f t="shared" ca="1" si="24"/>
        <v>27060.804</v>
      </c>
      <c r="W15" s="9">
        <f t="shared" ca="1" si="25"/>
        <v>-530.604000000003</v>
      </c>
      <c r="X15" s="66"/>
      <c r="Y15" s="9">
        <f t="shared" ca="1" si="26"/>
        <v>2131.6752403663468</v>
      </c>
      <c r="Z15" s="9">
        <f t="shared" ca="1" si="27"/>
        <v>1065.8376201831736</v>
      </c>
      <c r="AA15" s="9">
        <f t="shared" ca="1" si="28"/>
        <v>55423.556249525027</v>
      </c>
      <c r="AB15" s="9">
        <f t="shared" ca="1" si="29"/>
        <v>-2131.6752403663486</v>
      </c>
      <c r="AC15" s="9">
        <f t="shared" ca="1" si="30"/>
        <v>53291.881009158678</v>
      </c>
      <c r="AD15" s="9" t="e">
        <f t="shared" ca="1" si="31"/>
        <v>#VALUE!</v>
      </c>
      <c r="AE15" s="9" t="str">
        <f t="shared" ca="1" si="9"/>
        <v>EXPIRED</v>
      </c>
      <c r="AF15" s="66"/>
      <c r="AG15" s="9">
        <f t="shared" ca="1" si="32"/>
        <v>0</v>
      </c>
      <c r="AH15" s="9">
        <f t="shared" ca="1" si="33"/>
        <v>1243.4772235470357</v>
      </c>
      <c r="AI15" s="9">
        <f t="shared" ca="1" si="34"/>
        <v>35527.920672772445</v>
      </c>
      <c r="AJ15" s="9">
        <f t="shared" ca="1" si="35"/>
        <v>7.2759576141834259E-12</v>
      </c>
      <c r="AK15" s="9">
        <f t="shared" ca="1" si="36"/>
        <v>35527.920672772445</v>
      </c>
      <c r="AL15" s="9" t="e">
        <f t="shared" ca="1" si="37"/>
        <v>#VALUE!</v>
      </c>
      <c r="AM15" s="9" t="str">
        <f t="shared" ca="1" si="10"/>
        <v>EXPIRED</v>
      </c>
      <c r="AN15" s="66"/>
      <c r="AO15" s="9">
        <f t="shared" ca="1" si="38"/>
        <v>4323.9243237179935</v>
      </c>
      <c r="AP15" s="9">
        <f t="shared" ca="1" si="39"/>
        <v>0</v>
      </c>
      <c r="AQ15" s="9">
        <f t="shared" ca="1" si="40"/>
        <v>76389.329719017886</v>
      </c>
      <c r="AR15" s="9">
        <f t="shared" ca="1" si="41"/>
        <v>5858.0533239352044</v>
      </c>
      <c r="AS15" s="9">
        <f t="shared" ca="1" si="42"/>
        <v>82247.383042953094</v>
      </c>
      <c r="AT15" s="9" t="e">
        <f t="shared" ca="1" si="43"/>
        <v>#VALUE!</v>
      </c>
      <c r="AU15" s="9" t="str">
        <f t="shared" ca="1" si="11"/>
        <v>EXPIRED</v>
      </c>
      <c r="AV15" s="66"/>
      <c r="AW15" s="9">
        <f t="shared" ca="1" si="44"/>
        <v>1681.5261258903311</v>
      </c>
      <c r="AX15" s="9">
        <f t="shared" ca="1" si="45"/>
        <v>0</v>
      </c>
      <c r="AY15" s="9">
        <f t="shared" ca="1" si="46"/>
        <v>49725.12972275693</v>
      </c>
      <c r="AZ15" s="9">
        <f t="shared" ca="1" si="47"/>
        <v>5106.4589725451297</v>
      </c>
      <c r="BA15" s="9">
        <f t="shared" ca="1" si="48"/>
        <v>54831.588695302053</v>
      </c>
      <c r="BB15" s="9" t="e">
        <f t="shared" ca="1" si="49"/>
        <v>#VALUE!</v>
      </c>
      <c r="BC15" s="9" t="str">
        <f t="shared" ca="1" si="12"/>
        <v>EXPIRED</v>
      </c>
      <c r="BD15" s="66"/>
    </row>
    <row r="16" spans="1:56" ht="14.45" x14ac:dyDescent="0.3">
      <c r="A16" s="14">
        <f t="shared" si="13"/>
        <v>5</v>
      </c>
      <c r="B16" s="14">
        <f t="shared" si="13"/>
        <v>45</v>
      </c>
      <c r="C16" s="38">
        <f t="shared" si="4"/>
        <v>1.1040808032</v>
      </c>
      <c r="D16" s="66"/>
      <c r="E16" s="32">
        <f t="shared" ca="1" si="14"/>
        <v>243786.58282098983</v>
      </c>
      <c r="F16" s="32">
        <f t="shared" ca="1" si="15"/>
        <v>27602.020080000002</v>
      </c>
      <c r="G16" s="32">
        <f t="shared" ca="1" si="16"/>
        <v>93245.870460846607</v>
      </c>
      <c r="H16" s="32">
        <f ca="1">I16*(1-IF(OR(Income!P15="NA",Income!P15=0),0.2,Income!P15))</f>
        <v>122938.69228014324</v>
      </c>
      <c r="I16" s="32">
        <f t="shared" ca="1" si="17"/>
        <v>154744.26458945512</v>
      </c>
      <c r="J16" s="66"/>
      <c r="K16" s="74">
        <f ca="1">Income!M15+Dashboard!I68+Dashboard!K68-Taxes!BR21</f>
        <v>22632.577710115496</v>
      </c>
      <c r="L16" s="74">
        <f t="shared" ca="1" si="18"/>
        <v>541.21608000000197</v>
      </c>
      <c r="M16" s="5">
        <f t="shared" ca="1" si="19"/>
        <v>4426.0687789154945</v>
      </c>
      <c r="N16" s="5">
        <f ca="1">MAX(MIN(Target401K*C16,SUM(Income!D15:J15),W16+K16),-I15)+IF(W16+K16&lt;0,-M16,0)</f>
        <v>17665.2928512</v>
      </c>
      <c r="O16" s="66"/>
      <c r="P16" s="71">
        <f t="shared" ca="1" si="20"/>
        <v>2850.5309237302095</v>
      </c>
      <c r="Q16" s="71">
        <f t="shared" ca="1" si="21"/>
        <v>0</v>
      </c>
      <c r="R16" s="66"/>
      <c r="S16" s="9">
        <f t="shared" ca="1" si="22"/>
        <v>541.21608000000003</v>
      </c>
      <c r="T16" s="9">
        <f t="shared" ca="1" si="23"/>
        <v>541.21608000000197</v>
      </c>
      <c r="U16" s="9">
        <f ca="1">+Taxes!L21</f>
        <v>0</v>
      </c>
      <c r="V16" s="9">
        <f t="shared" ca="1" si="24"/>
        <v>27602.020080000002</v>
      </c>
      <c r="W16" s="9">
        <f t="shared" ca="1" si="25"/>
        <v>-541.21608000000197</v>
      </c>
      <c r="X16" s="66"/>
      <c r="Y16" s="9">
        <f t="shared" ca="1" si="26"/>
        <v>2131.6752403663468</v>
      </c>
      <c r="Z16" s="9">
        <f t="shared" ca="1" si="27"/>
        <v>1065.8376201831736</v>
      </c>
      <c r="AA16" s="9">
        <f t="shared" ca="1" si="28"/>
        <v>55423.556249525027</v>
      </c>
      <c r="AB16" s="9">
        <f t="shared" ca="1" si="29"/>
        <v>523.96602698294782</v>
      </c>
      <c r="AC16" s="9">
        <f t="shared" ca="1" si="30"/>
        <v>55947.522276507974</v>
      </c>
      <c r="AD16" s="9" t="e">
        <f t="shared" ca="1" si="31"/>
        <v>#VALUE!</v>
      </c>
      <c r="AE16" s="9" t="str">
        <f t="shared" ca="1" si="9"/>
        <v>EXPIRED</v>
      </c>
      <c r="AF16" s="66"/>
      <c r="AG16" s="9">
        <f t="shared" ca="1" si="32"/>
        <v>0</v>
      </c>
      <c r="AH16" s="9">
        <f t="shared" ca="1" si="33"/>
        <v>1243.4772235470357</v>
      </c>
      <c r="AI16" s="9">
        <f t="shared" ca="1" si="34"/>
        <v>35527.920672772445</v>
      </c>
      <c r="AJ16" s="9">
        <f t="shared" ca="1" si="35"/>
        <v>1770.4275115662051</v>
      </c>
      <c r="AK16" s="9">
        <f t="shared" ca="1" si="36"/>
        <v>37298.34818433864</v>
      </c>
      <c r="AL16" s="9" t="e">
        <f t="shared" ca="1" si="37"/>
        <v>#VALUE!</v>
      </c>
      <c r="AM16" s="9" t="str">
        <f t="shared" ca="1" si="10"/>
        <v>EXPIRED</v>
      </c>
      <c r="AN16" s="66"/>
      <c r="AO16" s="9">
        <f t="shared" ca="1" si="38"/>
        <v>4934.8429825771855</v>
      </c>
      <c r="AP16" s="9">
        <f t="shared" ca="1" si="39"/>
        <v>0</v>
      </c>
      <c r="AQ16" s="9">
        <f t="shared" ca="1" si="40"/>
        <v>87182.226025530283</v>
      </c>
      <c r="AR16" s="9">
        <f t="shared" ca="1" si="41"/>
        <v>5664.3327281427955</v>
      </c>
      <c r="AS16" s="9">
        <f t="shared" ca="1" si="42"/>
        <v>92846.558753673075</v>
      </c>
      <c r="AT16" s="9" t="e">
        <f t="shared" ca="1" si="43"/>
        <v>#VALUE!</v>
      </c>
      <c r="AU16" s="9" t="str">
        <f t="shared" ca="1" si="11"/>
        <v>EXPIRED</v>
      </c>
      <c r="AV16" s="66"/>
      <c r="AW16" s="9">
        <f t="shared" ca="1" si="44"/>
        <v>1919.105604335572</v>
      </c>
      <c r="AX16" s="9">
        <f t="shared" ca="1" si="45"/>
        <v>0</v>
      </c>
      <c r="AY16" s="9">
        <f t="shared" ca="1" si="46"/>
        <v>56750.694299637624</v>
      </c>
      <c r="AZ16" s="9">
        <f t="shared" ca="1" si="47"/>
        <v>5147.0115361444368</v>
      </c>
      <c r="BA16" s="9">
        <f t="shared" ca="1" si="48"/>
        <v>61897.70583578205</v>
      </c>
      <c r="BB16" s="9" t="e">
        <f t="shared" ca="1" si="49"/>
        <v>#VALUE!</v>
      </c>
      <c r="BC16" s="9" t="str">
        <f t="shared" ca="1" si="12"/>
        <v>EXPIRED</v>
      </c>
      <c r="BD16" s="66"/>
    </row>
    <row r="17" spans="1:56" ht="14.45" x14ac:dyDescent="0.3">
      <c r="A17" s="14">
        <f t="shared" si="13"/>
        <v>6</v>
      </c>
      <c r="B17" s="14">
        <f t="shared" si="13"/>
        <v>46</v>
      </c>
      <c r="C17" s="38">
        <f t="shared" si="4"/>
        <v>1.1261624192640001</v>
      </c>
      <c r="D17" s="66"/>
      <c r="E17" s="32" t="str">
        <f t="shared" ref="E17:E48" ca="1" si="50">IF(Message&lt;&gt;"",Message,+SUM(F17:H17))</f>
        <v>EXPIRED</v>
      </c>
      <c r="F17" s="32" t="str">
        <f t="shared" ref="F17:F48" ca="1" si="51">IF(Message&lt;&gt;"","--",+V17)</f>
        <v>--</v>
      </c>
      <c r="G17" s="32" t="str">
        <f t="shared" ref="G17:G48" ca="1" si="52">IF(Message&lt;&gt;"",Message,SUMIFS(17:17,$10:$10,"Ending Balance",$7:$7,FALSE))</f>
        <v>EXPIRED</v>
      </c>
      <c r="H17" s="32" t="str">
        <f ca="1">IF(Message&lt;&gt;"","--",I17*(1-IF(OR(Income!P16="NA",Income!P16=0),0.2,Income!P16)))</f>
        <v>--</v>
      </c>
      <c r="I17" s="32" t="str">
        <f t="shared" ref="I17:I48" ca="1" si="53">IF(Message&lt;&gt;"",Message,SUMIFS(17:17,$10:$10,"Ending Balance",$7:$7,TRUE))</f>
        <v>EXPIRED</v>
      </c>
      <c r="J17" s="66"/>
      <c r="K17" s="74" t="str">
        <f ca="1">IF(Message&lt;&gt;"",Message,Income!M16+Dashboard!I69+Dashboard!K69-Taxes!BR22)</f>
        <v>EXPIRED</v>
      </c>
      <c r="L17" s="74" t="str">
        <f t="shared" ref="L17:L48" ca="1" si="54">IF(Message&lt;&gt;"",Message,+K17-SUM(M17:N17))</f>
        <v>EXPIRED</v>
      </c>
      <c r="M17" s="5" t="str">
        <f t="shared" ref="M17:M48" ca="1" si="55">IF(Message&lt;&gt;"",Message,MAX(W17+K17,-G16)-IF(W17+K17&gt;0,N17,0))</f>
        <v>EXPIRED</v>
      </c>
      <c r="N17" s="5" t="str">
        <f ca="1">IF(Message&lt;&gt;"",Message,MAX(MIN(Target401K*C17,SUM(Income!D16:J16),W17+K17),-I16)+IF(W17+K17&lt;0,-M17,0))</f>
        <v>EXPIRED</v>
      </c>
      <c r="O17" s="66"/>
      <c r="P17" s="71" t="str">
        <f t="shared" ref="P17:P48" ca="1" si="56">IF(Message&lt;&gt;"",Message,+SUMIFS(17:17,$10:$10,"Dividend",$7:$7,FALSE)+S17)</f>
        <v>EXPIRED</v>
      </c>
      <c r="Q17" s="71" t="str">
        <f t="shared" ref="Q17:Q48" ca="1" si="57">IF(Message&lt;&gt;"",Message,+SUMIFS(17:17,$10:$10,"Gains Taxed This Year",$7:$7,FALSE))</f>
        <v>EXPIRED</v>
      </c>
      <c r="R17" s="66"/>
      <c r="S17" s="9" t="str">
        <f t="shared" ref="S17:S48" ca="1" si="58">IF(Message&lt;&gt;"",Message,+IF(V16&lt;0,T$5,T$4)*V16)</f>
        <v>EXPIRED</v>
      </c>
      <c r="T17" s="9" t="str">
        <f t="shared" ca="1" si="23"/>
        <v>EXPIRED</v>
      </c>
      <c r="U17" s="9">
        <f ca="1">+Taxes!L22</f>
        <v>0</v>
      </c>
      <c r="V17" s="9" t="str">
        <f t="shared" ref="V17:V48" ca="1" si="59">IF(Message&lt;&gt;"",Message,+V16+T17-U17)</f>
        <v>EXPIRED</v>
      </c>
      <c r="W17" s="9">
        <f t="shared" ca="1" si="25"/>
        <v>-552.04040159999931</v>
      </c>
      <c r="X17" s="66"/>
      <c r="Y17" s="9" t="str">
        <f t="shared" ref="Y17:Y48" ca="1" si="60">IF(Message&lt;&gt;"",Message,+AC16*(Z$4-IF(Z$7,0,Z$5)))</f>
        <v>EXPIRED</v>
      </c>
      <c r="Z17" s="9" t="str">
        <f t="shared" ref="Z17:Z48" ca="1" si="61">IF(Message&lt;&gt;"","--",+AC16*IF(Z$7,0,Z$5))</f>
        <v>--</v>
      </c>
      <c r="AA17" s="9" t="str">
        <f t="shared" ref="AA17:AA48" ca="1" si="62">IF(Message&lt;&gt;"",Message,+AC16+Y17)</f>
        <v>EXPIRED</v>
      </c>
      <c r="AB17" s="9" t="str">
        <f t="shared" ref="AB17:AB48" ca="1" si="63">IF(Message&lt;&gt;"","--", (Z$6*SUMIFS(16:16,$10:$10,"Ending Balance",$7:$7,Z$7)-AA17)+Z$6*IF(Z$7,$N17,$M17))</f>
        <v>--</v>
      </c>
      <c r="AC17" s="9" t="str">
        <f t="shared" ref="AC17:AC48" ca="1" si="64">IF(Message&lt;&gt;"",Message,+AC16*(1+Z$4-IF(Z$7,0,Z$5))+AB17)</f>
        <v>EXPIRED</v>
      </c>
      <c r="AD17" s="9" t="str">
        <f t="shared" ref="AD17:AD48" ca="1" si="65">IF(Message&lt;&gt;"","--",+AD16+Y17-AE16)</f>
        <v>--</v>
      </c>
      <c r="AE17" s="9" t="str">
        <f t="shared" ca="1" si="9"/>
        <v>EXPIRED</v>
      </c>
      <c r="AF17" s="66"/>
      <c r="AG17" s="9" t="str">
        <f t="shared" ref="AG17:AG80" ca="1" si="66">IF(Message&lt;&gt;"",Message,+AK16*(AH$4-IF(AH$7,0,AH$5)))</f>
        <v>EXPIRED</v>
      </c>
      <c r="AH17" s="9" t="str">
        <f t="shared" ref="AH17:AH80" ca="1" si="67">IF(Message&lt;&gt;"","--",+AK16*IF(AH$7,0,AH$5))</f>
        <v>--</v>
      </c>
      <c r="AI17" s="9" t="str">
        <f t="shared" ref="AI17:AI80" ca="1" si="68">IF(Message&lt;&gt;"",Message,+AK16+AG17)</f>
        <v>EXPIRED</v>
      </c>
      <c r="AJ17" s="9" t="str">
        <f t="shared" ref="AJ17:AJ80" ca="1" si="69">IF(Message&lt;&gt;"","--", (AH$6*SUMIFS(16:16,$10:$10,"Ending Balance",$7:$7,AH$7)-AI17)+AH$6*IF(AH$7,$N17,$M17))</f>
        <v>--</v>
      </c>
      <c r="AK17" s="9" t="str">
        <f t="shared" ref="AK17:AK80" ca="1" si="70">IF(Message&lt;&gt;"",Message,+AK16*(1+AH$4-IF(AH$7,0,AH$5))+AJ17)</f>
        <v>EXPIRED</v>
      </c>
      <c r="AL17" s="9" t="str">
        <f t="shared" ref="AL17:AL80" ca="1" si="71">IF(Message&lt;&gt;"","--",+AL16+AG17-AM16)</f>
        <v>--</v>
      </c>
      <c r="AM17" s="9" t="str">
        <f t="shared" ca="1" si="10"/>
        <v>EXPIRED</v>
      </c>
      <c r="AN17" s="66"/>
      <c r="AO17" s="9" t="str">
        <f t="shared" ref="AO17:AO80" ca="1" si="72">IF(Message&lt;&gt;"",Message,+AS16*(AP$4-IF(AP$7,0,AP$5)))</f>
        <v>EXPIRED</v>
      </c>
      <c r="AP17" s="9" t="str">
        <f t="shared" ref="AP17:AP80" ca="1" si="73">IF(Message&lt;&gt;"","--",+AS16*IF(AP$7,0,AP$5))</f>
        <v>--</v>
      </c>
      <c r="AQ17" s="9" t="str">
        <f t="shared" ref="AQ17:AQ80" ca="1" si="74">IF(Message&lt;&gt;"",Message,+AS16+AO17)</f>
        <v>EXPIRED</v>
      </c>
      <c r="AR17" s="9" t="str">
        <f t="shared" ref="AR17:AR80" ca="1" si="75">IF(Message&lt;&gt;"","--", (AP$6*SUMIFS(16:16,$10:$10,"Ending Balance",$7:$7,AP$7)-AQ17)+AP$6*IF(AP$7,$N17,$M17))</f>
        <v>--</v>
      </c>
      <c r="AS17" s="9" t="str">
        <f t="shared" ref="AS17:AS80" ca="1" si="76">IF(Message&lt;&gt;"",Message,+AS16*(1+AP$4-IF(AP$7,0,AP$5))+AR17)</f>
        <v>EXPIRED</v>
      </c>
      <c r="AT17" s="9" t="str">
        <f t="shared" ref="AT17:AT80" ca="1" si="77">IF(Message&lt;&gt;"","--",+AT16+AO17-AU16)</f>
        <v>--</v>
      </c>
      <c r="AU17" s="9" t="str">
        <f t="shared" ca="1" si="11"/>
        <v>EXPIRED</v>
      </c>
      <c r="AV17" s="66"/>
      <c r="AW17" s="9" t="str">
        <f t="shared" ref="AW17:AW80" ca="1" si="78">IF(Message&lt;&gt;"",Message,+BA16*(AX$4-IF(AX$7,0,AX$5)))</f>
        <v>EXPIRED</v>
      </c>
      <c r="AX17" s="9" t="str">
        <f t="shared" ref="AX17:AX80" ca="1" si="79">IF(Message&lt;&gt;"","--",+BA16*IF(AX$7,0,AX$5))</f>
        <v>--</v>
      </c>
      <c r="AY17" s="9" t="str">
        <f t="shared" ref="AY17:AY80" ca="1" si="80">IF(Message&lt;&gt;"",Message,+BA16+AW17)</f>
        <v>EXPIRED</v>
      </c>
      <c r="AZ17" s="9" t="str">
        <f t="shared" ref="AZ17:AZ80" ca="1" si="81">IF(Message&lt;&gt;"","--", (AX$6*SUMIFS(16:16,$10:$10,"Ending Balance",$7:$7,AX$7)-AY17)+AX$6*IF(AX$7,$N17,$M17))</f>
        <v>--</v>
      </c>
      <c r="BA17" s="9" t="str">
        <f t="shared" ref="BA17:BA80" ca="1" si="82">IF(Message&lt;&gt;"",Message,+BA16*(1+AX$4-IF(AX$7,0,AX$5))+AZ17)</f>
        <v>EXPIRED</v>
      </c>
      <c r="BB17" s="9" t="str">
        <f t="shared" ref="BB17:BB80" ca="1" si="83">IF(Message&lt;&gt;"","--",+BB16+AW17-BC16)</f>
        <v>--</v>
      </c>
      <c r="BC17" s="9" t="str">
        <f t="shared" ca="1" si="12"/>
        <v>EXPIRED</v>
      </c>
      <c r="BD17" s="66"/>
    </row>
    <row r="18" spans="1:56" ht="14.45" x14ac:dyDescent="0.3">
      <c r="A18" s="14">
        <f t="shared" si="13"/>
        <v>7</v>
      </c>
      <c r="B18" s="14">
        <f t="shared" si="13"/>
        <v>47</v>
      </c>
      <c r="C18" s="38">
        <f t="shared" si="4"/>
        <v>1.1486856676492798</v>
      </c>
      <c r="D18" s="66"/>
      <c r="E18" s="32" t="str">
        <f t="shared" ca="1" si="50"/>
        <v>EXPIRED</v>
      </c>
      <c r="F18" s="32" t="str">
        <f t="shared" ca="1" si="51"/>
        <v>--</v>
      </c>
      <c r="G18" s="32" t="str">
        <f t="shared" ca="1" si="52"/>
        <v>EXPIRED</v>
      </c>
      <c r="H18" s="32" t="str">
        <f ca="1">IF(Message&lt;&gt;"","--",I18*(1-IF(OR(Income!P17="NA",Income!P17=0),0.2,Income!P17)))</f>
        <v>--</v>
      </c>
      <c r="I18" s="32" t="str">
        <f t="shared" ca="1" si="53"/>
        <v>EXPIRED</v>
      </c>
      <c r="J18" s="66"/>
      <c r="K18" s="74" t="str">
        <f ca="1">IF(Message&lt;&gt;"",Message,Income!M17+Dashboard!I70+Dashboard!K70-Taxes!BR23)</f>
        <v>EXPIRED</v>
      </c>
      <c r="L18" s="74" t="str">
        <f t="shared" ca="1" si="54"/>
        <v>EXPIRED</v>
      </c>
      <c r="M18" s="5" t="str">
        <f t="shared" ca="1" si="55"/>
        <v>EXPIRED</v>
      </c>
      <c r="N18" s="5" t="str">
        <f ca="1">IF(Message&lt;&gt;"",Message,MAX(MIN(Target401K*C18,SUM(Income!D17:J17),W18+K18),-I17)+IF(W18+K18&lt;0,-M18,0))</f>
        <v>EXPIRED</v>
      </c>
      <c r="O18" s="66"/>
      <c r="P18" s="71" t="str">
        <f t="shared" ca="1" si="56"/>
        <v>EXPIRED</v>
      </c>
      <c r="Q18" s="71" t="str">
        <f t="shared" ca="1" si="57"/>
        <v>EXPIRED</v>
      </c>
      <c r="R18" s="66"/>
      <c r="S18" s="9" t="str">
        <f t="shared" ca="1" si="58"/>
        <v>EXPIRED</v>
      </c>
      <c r="T18" s="9" t="str">
        <f t="shared" ref="T18:T81" ca="1" si="84">L18</f>
        <v>EXPIRED</v>
      </c>
      <c r="U18" s="9">
        <f ca="1">+Taxes!L23</f>
        <v>0</v>
      </c>
      <c r="V18" s="9" t="str">
        <f t="shared" ca="1" si="59"/>
        <v>EXPIRED</v>
      </c>
      <c r="W18" s="9" t="e">
        <f t="shared" ref="W18:W81" ca="1" si="85">+V17-$T$3*C18</f>
        <v>#VALUE!</v>
      </c>
      <c r="X18" s="66"/>
      <c r="Y18" s="9" t="str">
        <f t="shared" ca="1" si="60"/>
        <v>EXPIRED</v>
      </c>
      <c r="Z18" s="9" t="str">
        <f t="shared" ca="1" si="61"/>
        <v>--</v>
      </c>
      <c r="AA18" s="9" t="str">
        <f t="shared" ca="1" si="62"/>
        <v>EXPIRED</v>
      </c>
      <c r="AB18" s="9" t="str">
        <f t="shared" ca="1" si="63"/>
        <v>--</v>
      </c>
      <c r="AC18" s="9" t="str">
        <f t="shared" ca="1" si="64"/>
        <v>EXPIRED</v>
      </c>
      <c r="AD18" s="9" t="str">
        <f t="shared" ca="1" si="65"/>
        <v>--</v>
      </c>
      <c r="AE18" s="9" t="str">
        <f t="shared" ca="1" si="9"/>
        <v>EXPIRED</v>
      </c>
      <c r="AF18" s="66"/>
      <c r="AG18" s="9" t="str">
        <f t="shared" ca="1" si="66"/>
        <v>EXPIRED</v>
      </c>
      <c r="AH18" s="9" t="str">
        <f t="shared" ca="1" si="67"/>
        <v>--</v>
      </c>
      <c r="AI18" s="9" t="str">
        <f t="shared" ca="1" si="68"/>
        <v>EXPIRED</v>
      </c>
      <c r="AJ18" s="9" t="str">
        <f t="shared" ca="1" si="69"/>
        <v>--</v>
      </c>
      <c r="AK18" s="9" t="str">
        <f t="shared" ca="1" si="70"/>
        <v>EXPIRED</v>
      </c>
      <c r="AL18" s="9" t="str">
        <f t="shared" ca="1" si="71"/>
        <v>--</v>
      </c>
      <c r="AM18" s="9" t="str">
        <f t="shared" ca="1" si="10"/>
        <v>EXPIRED</v>
      </c>
      <c r="AN18" s="66"/>
      <c r="AO18" s="9" t="str">
        <f t="shared" ca="1" si="72"/>
        <v>EXPIRED</v>
      </c>
      <c r="AP18" s="9" t="str">
        <f t="shared" ca="1" si="73"/>
        <v>--</v>
      </c>
      <c r="AQ18" s="9" t="str">
        <f t="shared" ca="1" si="74"/>
        <v>EXPIRED</v>
      </c>
      <c r="AR18" s="9" t="str">
        <f t="shared" ca="1" si="75"/>
        <v>--</v>
      </c>
      <c r="AS18" s="9" t="str">
        <f t="shared" ca="1" si="76"/>
        <v>EXPIRED</v>
      </c>
      <c r="AT18" s="9" t="str">
        <f t="shared" ca="1" si="77"/>
        <v>--</v>
      </c>
      <c r="AU18" s="9" t="str">
        <f t="shared" ca="1" si="11"/>
        <v>EXPIRED</v>
      </c>
      <c r="AV18" s="66"/>
      <c r="AW18" s="9" t="str">
        <f t="shared" ca="1" si="78"/>
        <v>EXPIRED</v>
      </c>
      <c r="AX18" s="9" t="str">
        <f t="shared" ca="1" si="79"/>
        <v>--</v>
      </c>
      <c r="AY18" s="9" t="str">
        <f t="shared" ca="1" si="80"/>
        <v>EXPIRED</v>
      </c>
      <c r="AZ18" s="9" t="str">
        <f t="shared" ca="1" si="81"/>
        <v>--</v>
      </c>
      <c r="BA18" s="9" t="str">
        <f t="shared" ca="1" si="82"/>
        <v>EXPIRED</v>
      </c>
      <c r="BB18" s="9" t="str">
        <f t="shared" ca="1" si="83"/>
        <v>--</v>
      </c>
      <c r="BC18" s="9" t="str">
        <f t="shared" ca="1" si="12"/>
        <v>EXPIRED</v>
      </c>
      <c r="BD18" s="66"/>
    </row>
    <row r="19" spans="1:56" ht="14.45" x14ac:dyDescent="0.3">
      <c r="A19" s="14">
        <f t="shared" si="13"/>
        <v>8</v>
      </c>
      <c r="B19" s="14">
        <f t="shared" si="13"/>
        <v>48</v>
      </c>
      <c r="C19" s="38">
        <f t="shared" si="4"/>
        <v>1.1716593810022655</v>
      </c>
      <c r="D19" s="66"/>
      <c r="E19" s="32" t="str">
        <f t="shared" ca="1" si="50"/>
        <v>EXPIRED</v>
      </c>
      <c r="F19" s="32" t="str">
        <f t="shared" ca="1" si="51"/>
        <v>--</v>
      </c>
      <c r="G19" s="32" t="str">
        <f t="shared" ca="1" si="52"/>
        <v>EXPIRED</v>
      </c>
      <c r="H19" s="32" t="str">
        <f ca="1">IF(Message&lt;&gt;"","--",I19*(1-IF(OR(Income!P18="NA",Income!P18=0),0.2,Income!P18)))</f>
        <v>--</v>
      </c>
      <c r="I19" s="32" t="str">
        <f t="shared" ca="1" si="53"/>
        <v>EXPIRED</v>
      </c>
      <c r="J19" s="66"/>
      <c r="K19" s="74" t="str">
        <f ca="1">IF(Message&lt;&gt;"",Message,Income!M18+Dashboard!I71+Dashboard!K71-Taxes!BR24)</f>
        <v>EXPIRED</v>
      </c>
      <c r="L19" s="74" t="str">
        <f t="shared" ca="1" si="54"/>
        <v>EXPIRED</v>
      </c>
      <c r="M19" s="5" t="str">
        <f t="shared" ca="1" si="55"/>
        <v>EXPIRED</v>
      </c>
      <c r="N19" s="5" t="str">
        <f ca="1">IF(Message&lt;&gt;"",Message,MAX(MIN(Target401K*C19,SUM(Income!D18:J18),W19+K19),-I18)+IF(W19+K19&lt;0,-M19,0))</f>
        <v>EXPIRED</v>
      </c>
      <c r="O19" s="66"/>
      <c r="P19" s="71" t="str">
        <f t="shared" ca="1" si="56"/>
        <v>EXPIRED</v>
      </c>
      <c r="Q19" s="71" t="str">
        <f t="shared" ca="1" si="57"/>
        <v>EXPIRED</v>
      </c>
      <c r="R19" s="66"/>
      <c r="S19" s="9" t="str">
        <f t="shared" ca="1" si="58"/>
        <v>EXPIRED</v>
      </c>
      <c r="T19" s="9" t="str">
        <f t="shared" ca="1" si="84"/>
        <v>EXPIRED</v>
      </c>
      <c r="U19" s="9">
        <f ca="1">+Taxes!L24</f>
        <v>0</v>
      </c>
      <c r="V19" s="9" t="str">
        <f t="shared" ca="1" si="59"/>
        <v>EXPIRED</v>
      </c>
      <c r="W19" s="9" t="e">
        <f t="shared" ca="1" si="85"/>
        <v>#VALUE!</v>
      </c>
      <c r="X19" s="66"/>
      <c r="Y19" s="9" t="str">
        <f t="shared" ca="1" si="60"/>
        <v>EXPIRED</v>
      </c>
      <c r="Z19" s="9" t="str">
        <f t="shared" ca="1" si="61"/>
        <v>--</v>
      </c>
      <c r="AA19" s="9" t="str">
        <f t="shared" ca="1" si="62"/>
        <v>EXPIRED</v>
      </c>
      <c r="AB19" s="9" t="str">
        <f t="shared" ca="1" si="63"/>
        <v>--</v>
      </c>
      <c r="AC19" s="9" t="str">
        <f t="shared" ca="1" si="64"/>
        <v>EXPIRED</v>
      </c>
      <c r="AD19" s="9" t="str">
        <f t="shared" ca="1" si="65"/>
        <v>--</v>
      </c>
      <c r="AE19" s="9" t="str">
        <f t="shared" ca="1" si="9"/>
        <v>EXPIRED</v>
      </c>
      <c r="AF19" s="66"/>
      <c r="AG19" s="9" t="str">
        <f t="shared" ca="1" si="66"/>
        <v>EXPIRED</v>
      </c>
      <c r="AH19" s="9" t="str">
        <f t="shared" ca="1" si="67"/>
        <v>--</v>
      </c>
      <c r="AI19" s="9" t="str">
        <f t="shared" ca="1" si="68"/>
        <v>EXPIRED</v>
      </c>
      <c r="AJ19" s="9" t="str">
        <f t="shared" ca="1" si="69"/>
        <v>--</v>
      </c>
      <c r="AK19" s="9" t="str">
        <f t="shared" ca="1" si="70"/>
        <v>EXPIRED</v>
      </c>
      <c r="AL19" s="9" t="str">
        <f t="shared" ca="1" si="71"/>
        <v>--</v>
      </c>
      <c r="AM19" s="9" t="str">
        <f t="shared" ca="1" si="10"/>
        <v>EXPIRED</v>
      </c>
      <c r="AN19" s="66"/>
      <c r="AO19" s="9" t="str">
        <f t="shared" ca="1" si="72"/>
        <v>EXPIRED</v>
      </c>
      <c r="AP19" s="9" t="str">
        <f t="shared" ca="1" si="73"/>
        <v>--</v>
      </c>
      <c r="AQ19" s="9" t="str">
        <f t="shared" ca="1" si="74"/>
        <v>EXPIRED</v>
      </c>
      <c r="AR19" s="9" t="str">
        <f t="shared" ca="1" si="75"/>
        <v>--</v>
      </c>
      <c r="AS19" s="9" t="str">
        <f t="shared" ca="1" si="76"/>
        <v>EXPIRED</v>
      </c>
      <c r="AT19" s="9" t="str">
        <f t="shared" ca="1" si="77"/>
        <v>--</v>
      </c>
      <c r="AU19" s="9" t="str">
        <f t="shared" ca="1" si="11"/>
        <v>EXPIRED</v>
      </c>
      <c r="AV19" s="66"/>
      <c r="AW19" s="9" t="str">
        <f t="shared" ca="1" si="78"/>
        <v>EXPIRED</v>
      </c>
      <c r="AX19" s="9" t="str">
        <f t="shared" ca="1" si="79"/>
        <v>--</v>
      </c>
      <c r="AY19" s="9" t="str">
        <f t="shared" ca="1" si="80"/>
        <v>EXPIRED</v>
      </c>
      <c r="AZ19" s="9" t="str">
        <f t="shared" ca="1" si="81"/>
        <v>--</v>
      </c>
      <c r="BA19" s="9" t="str">
        <f t="shared" ca="1" si="82"/>
        <v>EXPIRED</v>
      </c>
      <c r="BB19" s="9" t="str">
        <f t="shared" ca="1" si="83"/>
        <v>--</v>
      </c>
      <c r="BC19" s="9" t="str">
        <f t="shared" ca="1" si="12"/>
        <v>EXPIRED</v>
      </c>
      <c r="BD19" s="66"/>
    </row>
    <row r="20" spans="1:56" ht="14.45" x14ac:dyDescent="0.3">
      <c r="A20" s="14">
        <f t="shared" si="13"/>
        <v>9</v>
      </c>
      <c r="B20" s="14">
        <f t="shared" si="13"/>
        <v>49</v>
      </c>
      <c r="C20" s="38">
        <f t="shared" si="4"/>
        <v>1.1950925686223108</v>
      </c>
      <c r="D20" s="66"/>
      <c r="E20" s="32" t="str">
        <f t="shared" ca="1" si="50"/>
        <v>EXPIRED</v>
      </c>
      <c r="F20" s="32" t="str">
        <f t="shared" ca="1" si="51"/>
        <v>--</v>
      </c>
      <c r="G20" s="32" t="str">
        <f t="shared" ca="1" si="52"/>
        <v>EXPIRED</v>
      </c>
      <c r="H20" s="32" t="str">
        <f ca="1">IF(Message&lt;&gt;"","--",I20*(1-IF(OR(Income!P19="NA",Income!P19=0),0.2,Income!P19)))</f>
        <v>--</v>
      </c>
      <c r="I20" s="32" t="str">
        <f t="shared" ca="1" si="53"/>
        <v>EXPIRED</v>
      </c>
      <c r="J20" s="66"/>
      <c r="K20" s="74" t="str">
        <f ca="1">IF(Message&lt;&gt;"",Message,Income!M19+Dashboard!I72+Dashboard!K72-Taxes!BR25)</f>
        <v>EXPIRED</v>
      </c>
      <c r="L20" s="74" t="str">
        <f t="shared" ca="1" si="54"/>
        <v>EXPIRED</v>
      </c>
      <c r="M20" s="5" t="str">
        <f t="shared" ca="1" si="55"/>
        <v>EXPIRED</v>
      </c>
      <c r="N20" s="5" t="str">
        <f ca="1">IF(Message&lt;&gt;"",Message,MAX(MIN(Target401K*C20,SUM(Income!D19:J19),W20+K20),-I19)+IF(W20+K20&lt;0,-M20,0))</f>
        <v>EXPIRED</v>
      </c>
      <c r="O20" s="66"/>
      <c r="P20" s="71" t="str">
        <f t="shared" ca="1" si="56"/>
        <v>EXPIRED</v>
      </c>
      <c r="Q20" s="71" t="str">
        <f t="shared" ca="1" si="57"/>
        <v>EXPIRED</v>
      </c>
      <c r="R20" s="66"/>
      <c r="S20" s="9" t="str">
        <f t="shared" ca="1" si="58"/>
        <v>EXPIRED</v>
      </c>
      <c r="T20" s="9" t="str">
        <f t="shared" ca="1" si="84"/>
        <v>EXPIRED</v>
      </c>
      <c r="U20" s="9">
        <f ca="1">+Taxes!L25</f>
        <v>0</v>
      </c>
      <c r="V20" s="9" t="str">
        <f t="shared" ca="1" si="59"/>
        <v>EXPIRED</v>
      </c>
      <c r="W20" s="9" t="e">
        <f t="shared" ca="1" si="85"/>
        <v>#VALUE!</v>
      </c>
      <c r="X20" s="66"/>
      <c r="Y20" s="9" t="str">
        <f t="shared" ca="1" si="60"/>
        <v>EXPIRED</v>
      </c>
      <c r="Z20" s="9" t="str">
        <f t="shared" ca="1" si="61"/>
        <v>--</v>
      </c>
      <c r="AA20" s="9" t="str">
        <f t="shared" ca="1" si="62"/>
        <v>EXPIRED</v>
      </c>
      <c r="AB20" s="9" t="str">
        <f t="shared" ca="1" si="63"/>
        <v>--</v>
      </c>
      <c r="AC20" s="9" t="str">
        <f t="shared" ca="1" si="64"/>
        <v>EXPIRED</v>
      </c>
      <c r="AD20" s="9" t="str">
        <f t="shared" ca="1" si="65"/>
        <v>--</v>
      </c>
      <c r="AE20" s="9" t="str">
        <f t="shared" ca="1" si="9"/>
        <v>EXPIRED</v>
      </c>
      <c r="AF20" s="66"/>
      <c r="AG20" s="9" t="str">
        <f t="shared" ca="1" si="66"/>
        <v>EXPIRED</v>
      </c>
      <c r="AH20" s="9" t="str">
        <f t="shared" ca="1" si="67"/>
        <v>--</v>
      </c>
      <c r="AI20" s="9" t="str">
        <f t="shared" ca="1" si="68"/>
        <v>EXPIRED</v>
      </c>
      <c r="AJ20" s="9" t="str">
        <f t="shared" ca="1" si="69"/>
        <v>--</v>
      </c>
      <c r="AK20" s="9" t="str">
        <f t="shared" ca="1" si="70"/>
        <v>EXPIRED</v>
      </c>
      <c r="AL20" s="9" t="str">
        <f t="shared" ca="1" si="71"/>
        <v>--</v>
      </c>
      <c r="AM20" s="9" t="str">
        <f t="shared" ca="1" si="10"/>
        <v>EXPIRED</v>
      </c>
      <c r="AN20" s="66"/>
      <c r="AO20" s="9" t="str">
        <f t="shared" ca="1" si="72"/>
        <v>EXPIRED</v>
      </c>
      <c r="AP20" s="9" t="str">
        <f t="shared" ca="1" si="73"/>
        <v>--</v>
      </c>
      <c r="AQ20" s="9" t="str">
        <f t="shared" ca="1" si="74"/>
        <v>EXPIRED</v>
      </c>
      <c r="AR20" s="9" t="str">
        <f t="shared" ca="1" si="75"/>
        <v>--</v>
      </c>
      <c r="AS20" s="9" t="str">
        <f t="shared" ca="1" si="76"/>
        <v>EXPIRED</v>
      </c>
      <c r="AT20" s="9" t="str">
        <f t="shared" ca="1" si="77"/>
        <v>--</v>
      </c>
      <c r="AU20" s="9" t="str">
        <f t="shared" ca="1" si="11"/>
        <v>EXPIRED</v>
      </c>
      <c r="AV20" s="66"/>
      <c r="AW20" s="9" t="str">
        <f t="shared" ca="1" si="78"/>
        <v>EXPIRED</v>
      </c>
      <c r="AX20" s="9" t="str">
        <f t="shared" ca="1" si="79"/>
        <v>--</v>
      </c>
      <c r="AY20" s="9" t="str">
        <f t="shared" ca="1" si="80"/>
        <v>EXPIRED</v>
      </c>
      <c r="AZ20" s="9" t="str">
        <f t="shared" ca="1" si="81"/>
        <v>--</v>
      </c>
      <c r="BA20" s="9" t="str">
        <f t="shared" ca="1" si="82"/>
        <v>EXPIRED</v>
      </c>
      <c r="BB20" s="9" t="str">
        <f t="shared" ca="1" si="83"/>
        <v>--</v>
      </c>
      <c r="BC20" s="9" t="str">
        <f t="shared" ca="1" si="12"/>
        <v>EXPIRED</v>
      </c>
      <c r="BD20" s="66"/>
    </row>
    <row r="21" spans="1:56" ht="14.45" x14ac:dyDescent="0.3">
      <c r="A21" s="14">
        <f t="shared" si="13"/>
        <v>10</v>
      </c>
      <c r="B21" s="14">
        <f t="shared" si="13"/>
        <v>50</v>
      </c>
      <c r="C21" s="38">
        <f t="shared" si="4"/>
        <v>1.2189944199947571</v>
      </c>
      <c r="D21" s="66"/>
      <c r="E21" s="32" t="str">
        <f t="shared" ca="1" si="50"/>
        <v>EXPIRED</v>
      </c>
      <c r="F21" s="32" t="str">
        <f t="shared" ca="1" si="51"/>
        <v>--</v>
      </c>
      <c r="G21" s="32" t="str">
        <f t="shared" ca="1" si="52"/>
        <v>EXPIRED</v>
      </c>
      <c r="H21" s="32" t="str">
        <f ca="1">IF(Message&lt;&gt;"","--",I21*(1-IF(OR(Income!P20="NA",Income!P20=0),0.2,Income!P20)))</f>
        <v>--</v>
      </c>
      <c r="I21" s="32" t="str">
        <f t="shared" ca="1" si="53"/>
        <v>EXPIRED</v>
      </c>
      <c r="J21" s="66"/>
      <c r="K21" s="74" t="str">
        <f ca="1">IF(Message&lt;&gt;"",Message,Income!M20+Dashboard!I73+Dashboard!K73-Taxes!BR26)</f>
        <v>EXPIRED</v>
      </c>
      <c r="L21" s="74" t="str">
        <f t="shared" ca="1" si="54"/>
        <v>EXPIRED</v>
      </c>
      <c r="M21" s="5" t="str">
        <f t="shared" ca="1" si="55"/>
        <v>EXPIRED</v>
      </c>
      <c r="N21" s="5" t="str">
        <f ca="1">IF(Message&lt;&gt;"",Message,MAX(MIN(Target401K*C21,SUM(Income!D20:J20),W21+K21),-I20)+IF(W21+K21&lt;0,-M21,0))</f>
        <v>EXPIRED</v>
      </c>
      <c r="O21" s="66"/>
      <c r="P21" s="71" t="str">
        <f t="shared" ca="1" si="56"/>
        <v>EXPIRED</v>
      </c>
      <c r="Q21" s="71" t="str">
        <f t="shared" ca="1" si="57"/>
        <v>EXPIRED</v>
      </c>
      <c r="R21" s="66"/>
      <c r="S21" s="9" t="str">
        <f t="shared" ca="1" si="58"/>
        <v>EXPIRED</v>
      </c>
      <c r="T21" s="9" t="str">
        <f t="shared" ca="1" si="84"/>
        <v>EXPIRED</v>
      </c>
      <c r="U21" s="9">
        <f ca="1">+Taxes!L26</f>
        <v>0</v>
      </c>
      <c r="V21" s="9" t="str">
        <f t="shared" ca="1" si="59"/>
        <v>EXPIRED</v>
      </c>
      <c r="W21" s="9" t="e">
        <f t="shared" ca="1" si="85"/>
        <v>#VALUE!</v>
      </c>
      <c r="X21" s="66"/>
      <c r="Y21" s="9" t="str">
        <f t="shared" ca="1" si="60"/>
        <v>EXPIRED</v>
      </c>
      <c r="Z21" s="9" t="str">
        <f t="shared" ca="1" si="61"/>
        <v>--</v>
      </c>
      <c r="AA21" s="9" t="str">
        <f t="shared" ca="1" si="62"/>
        <v>EXPIRED</v>
      </c>
      <c r="AB21" s="9" t="str">
        <f t="shared" ca="1" si="63"/>
        <v>--</v>
      </c>
      <c r="AC21" s="9" t="str">
        <f t="shared" ca="1" si="64"/>
        <v>EXPIRED</v>
      </c>
      <c r="AD21" s="9" t="str">
        <f t="shared" ca="1" si="65"/>
        <v>--</v>
      </c>
      <c r="AE21" s="9" t="str">
        <f t="shared" ca="1" si="9"/>
        <v>EXPIRED</v>
      </c>
      <c r="AF21" s="66"/>
      <c r="AG21" s="9" t="str">
        <f t="shared" ca="1" si="66"/>
        <v>EXPIRED</v>
      </c>
      <c r="AH21" s="9" t="str">
        <f t="shared" ca="1" si="67"/>
        <v>--</v>
      </c>
      <c r="AI21" s="9" t="str">
        <f t="shared" ca="1" si="68"/>
        <v>EXPIRED</v>
      </c>
      <c r="AJ21" s="9" t="str">
        <f t="shared" ca="1" si="69"/>
        <v>--</v>
      </c>
      <c r="AK21" s="9" t="str">
        <f t="shared" ca="1" si="70"/>
        <v>EXPIRED</v>
      </c>
      <c r="AL21" s="9" t="str">
        <f t="shared" ca="1" si="71"/>
        <v>--</v>
      </c>
      <c r="AM21" s="9" t="str">
        <f t="shared" ca="1" si="10"/>
        <v>EXPIRED</v>
      </c>
      <c r="AN21" s="66"/>
      <c r="AO21" s="9" t="str">
        <f t="shared" ca="1" si="72"/>
        <v>EXPIRED</v>
      </c>
      <c r="AP21" s="9" t="str">
        <f t="shared" ca="1" si="73"/>
        <v>--</v>
      </c>
      <c r="AQ21" s="9" t="str">
        <f t="shared" ca="1" si="74"/>
        <v>EXPIRED</v>
      </c>
      <c r="AR21" s="9" t="str">
        <f t="shared" ca="1" si="75"/>
        <v>--</v>
      </c>
      <c r="AS21" s="9" t="str">
        <f t="shared" ca="1" si="76"/>
        <v>EXPIRED</v>
      </c>
      <c r="AT21" s="9" t="str">
        <f t="shared" ca="1" si="77"/>
        <v>--</v>
      </c>
      <c r="AU21" s="9" t="str">
        <f t="shared" ca="1" si="11"/>
        <v>EXPIRED</v>
      </c>
      <c r="AV21" s="66"/>
      <c r="AW21" s="9" t="str">
        <f t="shared" ca="1" si="78"/>
        <v>EXPIRED</v>
      </c>
      <c r="AX21" s="9" t="str">
        <f t="shared" ca="1" si="79"/>
        <v>--</v>
      </c>
      <c r="AY21" s="9" t="str">
        <f t="shared" ca="1" si="80"/>
        <v>EXPIRED</v>
      </c>
      <c r="AZ21" s="9" t="str">
        <f t="shared" ca="1" si="81"/>
        <v>--</v>
      </c>
      <c r="BA21" s="9" t="str">
        <f t="shared" ca="1" si="82"/>
        <v>EXPIRED</v>
      </c>
      <c r="BB21" s="9" t="str">
        <f t="shared" ca="1" si="83"/>
        <v>--</v>
      </c>
      <c r="BC21" s="9" t="str">
        <f t="shared" ca="1" si="12"/>
        <v>EXPIRED</v>
      </c>
      <c r="BD21" s="66"/>
    </row>
    <row r="22" spans="1:56" ht="14.45" x14ac:dyDescent="0.3">
      <c r="A22" s="14">
        <f t="shared" si="13"/>
        <v>11</v>
      </c>
      <c r="B22" s="14">
        <f t="shared" si="13"/>
        <v>51</v>
      </c>
      <c r="C22" s="38">
        <f t="shared" si="4"/>
        <v>1.243374308394652</v>
      </c>
      <c r="D22" s="66"/>
      <c r="E22" s="32" t="str">
        <f t="shared" ca="1" si="50"/>
        <v>EXPIRED</v>
      </c>
      <c r="F22" s="32" t="str">
        <f t="shared" ca="1" si="51"/>
        <v>--</v>
      </c>
      <c r="G22" s="32" t="str">
        <f t="shared" ca="1" si="52"/>
        <v>EXPIRED</v>
      </c>
      <c r="H22" s="32" t="str">
        <f ca="1">IF(Message&lt;&gt;"","--",I22*(1-IF(OR(Income!P21="NA",Income!P21=0),0.2,Income!P21)))</f>
        <v>--</v>
      </c>
      <c r="I22" s="32" t="str">
        <f t="shared" ca="1" si="53"/>
        <v>EXPIRED</v>
      </c>
      <c r="J22" s="66"/>
      <c r="K22" s="74" t="str">
        <f ca="1">IF(Message&lt;&gt;"",Message,Income!M21+Dashboard!I74+Dashboard!K74-Taxes!BR27)</f>
        <v>EXPIRED</v>
      </c>
      <c r="L22" s="74" t="str">
        <f t="shared" ca="1" si="54"/>
        <v>EXPIRED</v>
      </c>
      <c r="M22" s="5" t="str">
        <f t="shared" ca="1" si="55"/>
        <v>EXPIRED</v>
      </c>
      <c r="N22" s="5" t="str">
        <f ca="1">IF(Message&lt;&gt;"",Message,MAX(MIN(Target401K*C22,SUM(Income!D21:J21),W22+K22),-I21)+IF(W22+K22&lt;0,-M22,0))</f>
        <v>EXPIRED</v>
      </c>
      <c r="O22" s="66"/>
      <c r="P22" s="71" t="str">
        <f t="shared" ca="1" si="56"/>
        <v>EXPIRED</v>
      </c>
      <c r="Q22" s="71" t="str">
        <f t="shared" ca="1" si="57"/>
        <v>EXPIRED</v>
      </c>
      <c r="R22" s="66"/>
      <c r="S22" s="9" t="str">
        <f t="shared" ca="1" si="58"/>
        <v>EXPIRED</v>
      </c>
      <c r="T22" s="9" t="str">
        <f t="shared" ca="1" si="84"/>
        <v>EXPIRED</v>
      </c>
      <c r="U22" s="9">
        <f ca="1">+Taxes!L27</f>
        <v>0</v>
      </c>
      <c r="V22" s="9" t="str">
        <f t="shared" ca="1" si="59"/>
        <v>EXPIRED</v>
      </c>
      <c r="W22" s="9" t="e">
        <f t="shared" ca="1" si="85"/>
        <v>#VALUE!</v>
      </c>
      <c r="X22" s="66"/>
      <c r="Y22" s="9" t="str">
        <f t="shared" ca="1" si="60"/>
        <v>EXPIRED</v>
      </c>
      <c r="Z22" s="9" t="str">
        <f t="shared" ca="1" si="61"/>
        <v>--</v>
      </c>
      <c r="AA22" s="9" t="str">
        <f t="shared" ca="1" si="62"/>
        <v>EXPIRED</v>
      </c>
      <c r="AB22" s="9" t="str">
        <f t="shared" ca="1" si="63"/>
        <v>--</v>
      </c>
      <c r="AC22" s="9" t="str">
        <f t="shared" ca="1" si="64"/>
        <v>EXPIRED</v>
      </c>
      <c r="AD22" s="9" t="str">
        <f t="shared" ca="1" si="65"/>
        <v>--</v>
      </c>
      <c r="AE22" s="9" t="str">
        <f t="shared" ca="1" si="9"/>
        <v>EXPIRED</v>
      </c>
      <c r="AF22" s="66"/>
      <c r="AG22" s="9" t="str">
        <f t="shared" ca="1" si="66"/>
        <v>EXPIRED</v>
      </c>
      <c r="AH22" s="9" t="str">
        <f t="shared" ca="1" si="67"/>
        <v>--</v>
      </c>
      <c r="AI22" s="9" t="str">
        <f t="shared" ca="1" si="68"/>
        <v>EXPIRED</v>
      </c>
      <c r="AJ22" s="9" t="str">
        <f t="shared" ca="1" si="69"/>
        <v>--</v>
      </c>
      <c r="AK22" s="9" t="str">
        <f t="shared" ca="1" si="70"/>
        <v>EXPIRED</v>
      </c>
      <c r="AL22" s="9" t="str">
        <f t="shared" ca="1" si="71"/>
        <v>--</v>
      </c>
      <c r="AM22" s="9" t="str">
        <f t="shared" ca="1" si="10"/>
        <v>EXPIRED</v>
      </c>
      <c r="AN22" s="66"/>
      <c r="AO22" s="9" t="str">
        <f t="shared" ca="1" si="72"/>
        <v>EXPIRED</v>
      </c>
      <c r="AP22" s="9" t="str">
        <f t="shared" ca="1" si="73"/>
        <v>--</v>
      </c>
      <c r="AQ22" s="9" t="str">
        <f t="shared" ca="1" si="74"/>
        <v>EXPIRED</v>
      </c>
      <c r="AR22" s="9" t="str">
        <f t="shared" ca="1" si="75"/>
        <v>--</v>
      </c>
      <c r="AS22" s="9" t="str">
        <f t="shared" ca="1" si="76"/>
        <v>EXPIRED</v>
      </c>
      <c r="AT22" s="9" t="str">
        <f t="shared" ca="1" si="77"/>
        <v>--</v>
      </c>
      <c r="AU22" s="9" t="str">
        <f t="shared" ca="1" si="11"/>
        <v>EXPIRED</v>
      </c>
      <c r="AV22" s="66"/>
      <c r="AW22" s="9" t="str">
        <f t="shared" ca="1" si="78"/>
        <v>EXPIRED</v>
      </c>
      <c r="AX22" s="9" t="str">
        <f t="shared" ca="1" si="79"/>
        <v>--</v>
      </c>
      <c r="AY22" s="9" t="str">
        <f t="shared" ca="1" si="80"/>
        <v>EXPIRED</v>
      </c>
      <c r="AZ22" s="9" t="str">
        <f t="shared" ca="1" si="81"/>
        <v>--</v>
      </c>
      <c r="BA22" s="9" t="str">
        <f t="shared" ca="1" si="82"/>
        <v>EXPIRED</v>
      </c>
      <c r="BB22" s="9" t="str">
        <f t="shared" ca="1" si="83"/>
        <v>--</v>
      </c>
      <c r="BC22" s="9" t="str">
        <f t="shared" ca="1" si="12"/>
        <v>EXPIRED</v>
      </c>
      <c r="BD22" s="66"/>
    </row>
    <row r="23" spans="1:56" ht="14.45" x14ac:dyDescent="0.3">
      <c r="A23" s="14">
        <f t="shared" si="13"/>
        <v>12</v>
      </c>
      <c r="B23" s="14">
        <f t="shared" si="13"/>
        <v>52</v>
      </c>
      <c r="C23" s="38">
        <f t="shared" si="4"/>
        <v>1.2682417945625453</v>
      </c>
      <c r="D23" s="66"/>
      <c r="E23" s="32" t="str">
        <f t="shared" ca="1" si="50"/>
        <v>EXPIRED</v>
      </c>
      <c r="F23" s="32" t="str">
        <f t="shared" ca="1" si="51"/>
        <v>--</v>
      </c>
      <c r="G23" s="32" t="str">
        <f t="shared" ca="1" si="52"/>
        <v>EXPIRED</v>
      </c>
      <c r="H23" s="32" t="str">
        <f ca="1">IF(Message&lt;&gt;"","--",I23*(1-IF(OR(Income!P22="NA",Income!P22=0),0.2,Income!P22)))</f>
        <v>--</v>
      </c>
      <c r="I23" s="32" t="str">
        <f t="shared" ca="1" si="53"/>
        <v>EXPIRED</v>
      </c>
      <c r="J23" s="66"/>
      <c r="K23" s="74" t="str">
        <f ca="1">IF(Message&lt;&gt;"",Message,Income!M22+Dashboard!I75+Dashboard!K75-Taxes!BR28)</f>
        <v>EXPIRED</v>
      </c>
      <c r="L23" s="74" t="str">
        <f t="shared" ca="1" si="54"/>
        <v>EXPIRED</v>
      </c>
      <c r="M23" s="5" t="str">
        <f t="shared" ca="1" si="55"/>
        <v>EXPIRED</v>
      </c>
      <c r="N23" s="5" t="str">
        <f ca="1">IF(Message&lt;&gt;"",Message,MAX(MIN(Target401K*C23,SUM(Income!D22:J22),W23+K23),-I22)+IF(W23+K23&lt;0,-M23,0))</f>
        <v>EXPIRED</v>
      </c>
      <c r="O23" s="66"/>
      <c r="P23" s="71" t="str">
        <f t="shared" ca="1" si="56"/>
        <v>EXPIRED</v>
      </c>
      <c r="Q23" s="71" t="str">
        <f t="shared" ca="1" si="57"/>
        <v>EXPIRED</v>
      </c>
      <c r="R23" s="66"/>
      <c r="S23" s="9" t="str">
        <f t="shared" ca="1" si="58"/>
        <v>EXPIRED</v>
      </c>
      <c r="T23" s="9" t="str">
        <f t="shared" ca="1" si="84"/>
        <v>EXPIRED</v>
      </c>
      <c r="U23" s="9">
        <f ca="1">+Taxes!L28</f>
        <v>0</v>
      </c>
      <c r="V23" s="9" t="str">
        <f t="shared" ca="1" si="59"/>
        <v>EXPIRED</v>
      </c>
      <c r="W23" s="9" t="e">
        <f t="shared" ca="1" si="85"/>
        <v>#VALUE!</v>
      </c>
      <c r="X23" s="66"/>
      <c r="Y23" s="9" t="str">
        <f t="shared" ca="1" si="60"/>
        <v>EXPIRED</v>
      </c>
      <c r="Z23" s="9" t="str">
        <f t="shared" ca="1" si="61"/>
        <v>--</v>
      </c>
      <c r="AA23" s="9" t="str">
        <f t="shared" ca="1" si="62"/>
        <v>EXPIRED</v>
      </c>
      <c r="AB23" s="9" t="str">
        <f t="shared" ca="1" si="63"/>
        <v>--</v>
      </c>
      <c r="AC23" s="9" t="str">
        <f t="shared" ca="1" si="64"/>
        <v>EXPIRED</v>
      </c>
      <c r="AD23" s="9" t="str">
        <f t="shared" ca="1" si="65"/>
        <v>--</v>
      </c>
      <c r="AE23" s="9" t="str">
        <f t="shared" ca="1" si="9"/>
        <v>EXPIRED</v>
      </c>
      <c r="AF23" s="66"/>
      <c r="AG23" s="9" t="str">
        <f t="shared" ca="1" si="66"/>
        <v>EXPIRED</v>
      </c>
      <c r="AH23" s="9" t="str">
        <f t="shared" ca="1" si="67"/>
        <v>--</v>
      </c>
      <c r="AI23" s="9" t="str">
        <f t="shared" ca="1" si="68"/>
        <v>EXPIRED</v>
      </c>
      <c r="AJ23" s="9" t="str">
        <f t="shared" ca="1" si="69"/>
        <v>--</v>
      </c>
      <c r="AK23" s="9" t="str">
        <f t="shared" ca="1" si="70"/>
        <v>EXPIRED</v>
      </c>
      <c r="AL23" s="9" t="str">
        <f t="shared" ca="1" si="71"/>
        <v>--</v>
      </c>
      <c r="AM23" s="9" t="str">
        <f t="shared" ca="1" si="10"/>
        <v>EXPIRED</v>
      </c>
      <c r="AN23" s="66"/>
      <c r="AO23" s="9" t="str">
        <f t="shared" ca="1" si="72"/>
        <v>EXPIRED</v>
      </c>
      <c r="AP23" s="9" t="str">
        <f t="shared" ca="1" si="73"/>
        <v>--</v>
      </c>
      <c r="AQ23" s="9" t="str">
        <f t="shared" ca="1" si="74"/>
        <v>EXPIRED</v>
      </c>
      <c r="AR23" s="9" t="str">
        <f t="shared" ca="1" si="75"/>
        <v>--</v>
      </c>
      <c r="AS23" s="9" t="str">
        <f t="shared" ca="1" si="76"/>
        <v>EXPIRED</v>
      </c>
      <c r="AT23" s="9" t="str">
        <f t="shared" ca="1" si="77"/>
        <v>--</v>
      </c>
      <c r="AU23" s="9" t="str">
        <f t="shared" ca="1" si="11"/>
        <v>EXPIRED</v>
      </c>
      <c r="AV23" s="66"/>
      <c r="AW23" s="9" t="str">
        <f t="shared" ca="1" si="78"/>
        <v>EXPIRED</v>
      </c>
      <c r="AX23" s="9" t="str">
        <f t="shared" ca="1" si="79"/>
        <v>--</v>
      </c>
      <c r="AY23" s="9" t="str">
        <f t="shared" ca="1" si="80"/>
        <v>EXPIRED</v>
      </c>
      <c r="AZ23" s="9" t="str">
        <f t="shared" ca="1" si="81"/>
        <v>--</v>
      </c>
      <c r="BA23" s="9" t="str">
        <f t="shared" ca="1" si="82"/>
        <v>EXPIRED</v>
      </c>
      <c r="BB23" s="9" t="str">
        <f t="shared" ca="1" si="83"/>
        <v>--</v>
      </c>
      <c r="BC23" s="9" t="str">
        <f t="shared" ca="1" si="12"/>
        <v>EXPIRED</v>
      </c>
      <c r="BD23" s="66"/>
    </row>
    <row r="24" spans="1:56" ht="14.45" x14ac:dyDescent="0.3">
      <c r="A24" s="14">
        <f t="shared" si="13"/>
        <v>13</v>
      </c>
      <c r="B24" s="14">
        <f t="shared" si="13"/>
        <v>53</v>
      </c>
      <c r="C24" s="38">
        <f t="shared" si="4"/>
        <v>1.2936066304537961</v>
      </c>
      <c r="D24" s="66"/>
      <c r="E24" s="32" t="str">
        <f t="shared" ca="1" si="50"/>
        <v>EXPIRED</v>
      </c>
      <c r="F24" s="32" t="str">
        <f t="shared" ca="1" si="51"/>
        <v>--</v>
      </c>
      <c r="G24" s="32" t="str">
        <f t="shared" ca="1" si="52"/>
        <v>EXPIRED</v>
      </c>
      <c r="H24" s="32" t="str">
        <f ca="1">IF(Message&lt;&gt;"","--",I24*(1-IF(OR(Income!P23="NA",Income!P23=0),0.2,Income!P23)))</f>
        <v>--</v>
      </c>
      <c r="I24" s="32" t="str">
        <f t="shared" ca="1" si="53"/>
        <v>EXPIRED</v>
      </c>
      <c r="J24" s="66"/>
      <c r="K24" s="74" t="str">
        <f ca="1">IF(Message&lt;&gt;"",Message,Income!M23+Dashboard!I76+Dashboard!K76-Taxes!BR29)</f>
        <v>EXPIRED</v>
      </c>
      <c r="L24" s="74" t="str">
        <f t="shared" ca="1" si="54"/>
        <v>EXPIRED</v>
      </c>
      <c r="M24" s="5" t="str">
        <f t="shared" ca="1" si="55"/>
        <v>EXPIRED</v>
      </c>
      <c r="N24" s="5" t="str">
        <f ca="1">IF(Message&lt;&gt;"",Message,MAX(MIN(Target401K*C24,SUM(Income!D23:J23),W24+K24),-I23)+IF(W24+K24&lt;0,-M24,0))</f>
        <v>EXPIRED</v>
      </c>
      <c r="O24" s="66"/>
      <c r="P24" s="71" t="str">
        <f t="shared" ca="1" si="56"/>
        <v>EXPIRED</v>
      </c>
      <c r="Q24" s="71" t="str">
        <f t="shared" ca="1" si="57"/>
        <v>EXPIRED</v>
      </c>
      <c r="R24" s="66"/>
      <c r="S24" s="9" t="str">
        <f t="shared" ca="1" si="58"/>
        <v>EXPIRED</v>
      </c>
      <c r="T24" s="9" t="str">
        <f t="shared" ca="1" si="84"/>
        <v>EXPIRED</v>
      </c>
      <c r="U24" s="9">
        <f ca="1">+Taxes!L29</f>
        <v>0</v>
      </c>
      <c r="V24" s="9" t="str">
        <f t="shared" ca="1" si="59"/>
        <v>EXPIRED</v>
      </c>
      <c r="W24" s="9" t="e">
        <f t="shared" ca="1" si="85"/>
        <v>#VALUE!</v>
      </c>
      <c r="X24" s="66"/>
      <c r="Y24" s="9" t="str">
        <f t="shared" ca="1" si="60"/>
        <v>EXPIRED</v>
      </c>
      <c r="Z24" s="9" t="str">
        <f t="shared" ca="1" si="61"/>
        <v>--</v>
      </c>
      <c r="AA24" s="9" t="str">
        <f t="shared" ca="1" si="62"/>
        <v>EXPIRED</v>
      </c>
      <c r="AB24" s="9" t="str">
        <f t="shared" ca="1" si="63"/>
        <v>--</v>
      </c>
      <c r="AC24" s="9" t="str">
        <f t="shared" ca="1" si="64"/>
        <v>EXPIRED</v>
      </c>
      <c r="AD24" s="9" t="str">
        <f t="shared" ca="1" si="65"/>
        <v>--</v>
      </c>
      <c r="AE24" s="9" t="str">
        <f t="shared" ca="1" si="9"/>
        <v>EXPIRED</v>
      </c>
      <c r="AF24" s="66"/>
      <c r="AG24" s="9" t="str">
        <f t="shared" ca="1" si="66"/>
        <v>EXPIRED</v>
      </c>
      <c r="AH24" s="9" t="str">
        <f t="shared" ca="1" si="67"/>
        <v>--</v>
      </c>
      <c r="AI24" s="9" t="str">
        <f t="shared" ca="1" si="68"/>
        <v>EXPIRED</v>
      </c>
      <c r="AJ24" s="9" t="str">
        <f t="shared" ca="1" si="69"/>
        <v>--</v>
      </c>
      <c r="AK24" s="9" t="str">
        <f t="shared" ca="1" si="70"/>
        <v>EXPIRED</v>
      </c>
      <c r="AL24" s="9" t="str">
        <f t="shared" ca="1" si="71"/>
        <v>--</v>
      </c>
      <c r="AM24" s="9" t="str">
        <f t="shared" ca="1" si="10"/>
        <v>EXPIRED</v>
      </c>
      <c r="AN24" s="66"/>
      <c r="AO24" s="9" t="str">
        <f t="shared" ca="1" si="72"/>
        <v>EXPIRED</v>
      </c>
      <c r="AP24" s="9" t="str">
        <f t="shared" ca="1" si="73"/>
        <v>--</v>
      </c>
      <c r="AQ24" s="9" t="str">
        <f t="shared" ca="1" si="74"/>
        <v>EXPIRED</v>
      </c>
      <c r="AR24" s="9" t="str">
        <f t="shared" ca="1" si="75"/>
        <v>--</v>
      </c>
      <c r="AS24" s="9" t="str">
        <f t="shared" ca="1" si="76"/>
        <v>EXPIRED</v>
      </c>
      <c r="AT24" s="9" t="str">
        <f t="shared" ca="1" si="77"/>
        <v>--</v>
      </c>
      <c r="AU24" s="9" t="str">
        <f t="shared" ca="1" si="11"/>
        <v>EXPIRED</v>
      </c>
      <c r="AV24" s="66"/>
      <c r="AW24" s="9" t="str">
        <f t="shared" ca="1" si="78"/>
        <v>EXPIRED</v>
      </c>
      <c r="AX24" s="9" t="str">
        <f t="shared" ca="1" si="79"/>
        <v>--</v>
      </c>
      <c r="AY24" s="9" t="str">
        <f t="shared" ca="1" si="80"/>
        <v>EXPIRED</v>
      </c>
      <c r="AZ24" s="9" t="str">
        <f t="shared" ca="1" si="81"/>
        <v>--</v>
      </c>
      <c r="BA24" s="9" t="str">
        <f t="shared" ca="1" si="82"/>
        <v>EXPIRED</v>
      </c>
      <c r="BB24" s="9" t="str">
        <f t="shared" ca="1" si="83"/>
        <v>--</v>
      </c>
      <c r="BC24" s="9" t="str">
        <f t="shared" ca="1" si="12"/>
        <v>EXPIRED</v>
      </c>
      <c r="BD24" s="66"/>
    </row>
    <row r="25" spans="1:56" ht="14.45" x14ac:dyDescent="0.3">
      <c r="A25" s="14">
        <f t="shared" si="13"/>
        <v>14</v>
      </c>
      <c r="B25" s="14">
        <f t="shared" si="13"/>
        <v>54</v>
      </c>
      <c r="C25" s="38">
        <f t="shared" si="4"/>
        <v>1.3194787630628722</v>
      </c>
      <c r="D25" s="66"/>
      <c r="E25" s="32" t="str">
        <f t="shared" ca="1" si="50"/>
        <v>EXPIRED</v>
      </c>
      <c r="F25" s="32" t="str">
        <f t="shared" ca="1" si="51"/>
        <v>--</v>
      </c>
      <c r="G25" s="32" t="str">
        <f t="shared" ca="1" si="52"/>
        <v>EXPIRED</v>
      </c>
      <c r="H25" s="32" t="str">
        <f ca="1">IF(Message&lt;&gt;"","--",I25*(1-IF(OR(Income!P24="NA",Income!P24=0),0.2,Income!P24)))</f>
        <v>--</v>
      </c>
      <c r="I25" s="32" t="str">
        <f t="shared" ca="1" si="53"/>
        <v>EXPIRED</v>
      </c>
      <c r="J25" s="66"/>
      <c r="K25" s="74" t="str">
        <f ca="1">IF(Message&lt;&gt;"",Message,Income!M24+Dashboard!I77+Dashboard!K77-Taxes!BR30)</f>
        <v>EXPIRED</v>
      </c>
      <c r="L25" s="74" t="str">
        <f t="shared" ca="1" si="54"/>
        <v>EXPIRED</v>
      </c>
      <c r="M25" s="5" t="str">
        <f t="shared" ca="1" si="55"/>
        <v>EXPIRED</v>
      </c>
      <c r="N25" s="5" t="str">
        <f ca="1">IF(Message&lt;&gt;"",Message,MAX(MIN(Target401K*C25,SUM(Income!D24:J24),W25+K25),-I24)+IF(W25+K25&lt;0,-M25,0))</f>
        <v>EXPIRED</v>
      </c>
      <c r="O25" s="66"/>
      <c r="P25" s="71" t="str">
        <f t="shared" ca="1" si="56"/>
        <v>EXPIRED</v>
      </c>
      <c r="Q25" s="71" t="str">
        <f t="shared" ca="1" si="57"/>
        <v>EXPIRED</v>
      </c>
      <c r="R25" s="66"/>
      <c r="S25" s="9" t="str">
        <f t="shared" ca="1" si="58"/>
        <v>EXPIRED</v>
      </c>
      <c r="T25" s="9" t="str">
        <f t="shared" ca="1" si="84"/>
        <v>EXPIRED</v>
      </c>
      <c r="U25" s="9">
        <f ca="1">+Taxes!L30</f>
        <v>0</v>
      </c>
      <c r="V25" s="9" t="str">
        <f t="shared" ca="1" si="59"/>
        <v>EXPIRED</v>
      </c>
      <c r="W25" s="9" t="e">
        <f t="shared" ca="1" si="85"/>
        <v>#VALUE!</v>
      </c>
      <c r="X25" s="66"/>
      <c r="Y25" s="9" t="str">
        <f t="shared" ca="1" si="60"/>
        <v>EXPIRED</v>
      </c>
      <c r="Z25" s="9" t="str">
        <f t="shared" ca="1" si="61"/>
        <v>--</v>
      </c>
      <c r="AA25" s="9" t="str">
        <f t="shared" ca="1" si="62"/>
        <v>EXPIRED</v>
      </c>
      <c r="AB25" s="9" t="str">
        <f t="shared" ca="1" si="63"/>
        <v>--</v>
      </c>
      <c r="AC25" s="9" t="str">
        <f t="shared" ca="1" si="64"/>
        <v>EXPIRED</v>
      </c>
      <c r="AD25" s="9" t="str">
        <f t="shared" ca="1" si="65"/>
        <v>--</v>
      </c>
      <c r="AE25" s="9" t="str">
        <f t="shared" ca="1" si="9"/>
        <v>EXPIRED</v>
      </c>
      <c r="AF25" s="66"/>
      <c r="AG25" s="9" t="str">
        <f t="shared" ca="1" si="66"/>
        <v>EXPIRED</v>
      </c>
      <c r="AH25" s="9" t="str">
        <f t="shared" ca="1" si="67"/>
        <v>--</v>
      </c>
      <c r="AI25" s="9" t="str">
        <f t="shared" ca="1" si="68"/>
        <v>EXPIRED</v>
      </c>
      <c r="AJ25" s="9" t="str">
        <f t="shared" ca="1" si="69"/>
        <v>--</v>
      </c>
      <c r="AK25" s="9" t="str">
        <f t="shared" ca="1" si="70"/>
        <v>EXPIRED</v>
      </c>
      <c r="AL25" s="9" t="str">
        <f t="shared" ca="1" si="71"/>
        <v>--</v>
      </c>
      <c r="AM25" s="9" t="str">
        <f t="shared" ca="1" si="10"/>
        <v>EXPIRED</v>
      </c>
      <c r="AN25" s="66"/>
      <c r="AO25" s="9" t="str">
        <f t="shared" ca="1" si="72"/>
        <v>EXPIRED</v>
      </c>
      <c r="AP25" s="9" t="str">
        <f t="shared" ca="1" si="73"/>
        <v>--</v>
      </c>
      <c r="AQ25" s="9" t="str">
        <f t="shared" ca="1" si="74"/>
        <v>EXPIRED</v>
      </c>
      <c r="AR25" s="9" t="str">
        <f t="shared" ca="1" si="75"/>
        <v>--</v>
      </c>
      <c r="AS25" s="9" t="str">
        <f t="shared" ca="1" si="76"/>
        <v>EXPIRED</v>
      </c>
      <c r="AT25" s="9" t="str">
        <f t="shared" ca="1" si="77"/>
        <v>--</v>
      </c>
      <c r="AU25" s="9" t="str">
        <f t="shared" ca="1" si="11"/>
        <v>EXPIRED</v>
      </c>
      <c r="AV25" s="66"/>
      <c r="AW25" s="9" t="str">
        <f t="shared" ca="1" si="78"/>
        <v>EXPIRED</v>
      </c>
      <c r="AX25" s="9" t="str">
        <f t="shared" ca="1" si="79"/>
        <v>--</v>
      </c>
      <c r="AY25" s="9" t="str">
        <f t="shared" ca="1" si="80"/>
        <v>EXPIRED</v>
      </c>
      <c r="AZ25" s="9" t="str">
        <f t="shared" ca="1" si="81"/>
        <v>--</v>
      </c>
      <c r="BA25" s="9" t="str">
        <f t="shared" ca="1" si="82"/>
        <v>EXPIRED</v>
      </c>
      <c r="BB25" s="9" t="str">
        <f t="shared" ca="1" si="83"/>
        <v>--</v>
      </c>
      <c r="BC25" s="9" t="str">
        <f t="shared" ca="1" si="12"/>
        <v>EXPIRED</v>
      </c>
      <c r="BD25" s="66"/>
    </row>
    <row r="26" spans="1:56" ht="14.45" x14ac:dyDescent="0.3">
      <c r="A26" s="14">
        <f t="shared" si="13"/>
        <v>15</v>
      </c>
      <c r="B26" s="14">
        <f t="shared" si="13"/>
        <v>55</v>
      </c>
      <c r="C26" s="38">
        <f t="shared" si="4"/>
        <v>1.3458683383241292</v>
      </c>
      <c r="D26" s="66"/>
      <c r="E26" s="32" t="str">
        <f t="shared" ca="1" si="50"/>
        <v>EXPIRED</v>
      </c>
      <c r="F26" s="32" t="str">
        <f t="shared" ca="1" si="51"/>
        <v>--</v>
      </c>
      <c r="G26" s="32" t="str">
        <f t="shared" ca="1" si="52"/>
        <v>EXPIRED</v>
      </c>
      <c r="H26" s="32" t="str">
        <f ca="1">IF(Message&lt;&gt;"","--",I26*(1-IF(OR(Income!P25="NA",Income!P25=0),0.2,Income!P25)))</f>
        <v>--</v>
      </c>
      <c r="I26" s="32" t="str">
        <f t="shared" ca="1" si="53"/>
        <v>EXPIRED</v>
      </c>
      <c r="J26" s="66"/>
      <c r="K26" s="74" t="str">
        <f ca="1">IF(Message&lt;&gt;"",Message,Income!M25+Dashboard!I78+Dashboard!K78-Taxes!BR31)</f>
        <v>EXPIRED</v>
      </c>
      <c r="L26" s="74" t="str">
        <f t="shared" ca="1" si="54"/>
        <v>EXPIRED</v>
      </c>
      <c r="M26" s="5" t="str">
        <f t="shared" ca="1" si="55"/>
        <v>EXPIRED</v>
      </c>
      <c r="N26" s="5" t="str">
        <f ca="1">IF(Message&lt;&gt;"",Message,MAX(MIN(Target401K*C26,SUM(Income!D25:J25),W26+K26),-I25)+IF(W26+K26&lt;0,-M26,0))</f>
        <v>EXPIRED</v>
      </c>
      <c r="O26" s="66"/>
      <c r="P26" s="71" t="str">
        <f t="shared" ca="1" si="56"/>
        <v>EXPIRED</v>
      </c>
      <c r="Q26" s="71" t="str">
        <f t="shared" ca="1" si="57"/>
        <v>EXPIRED</v>
      </c>
      <c r="R26" s="66"/>
      <c r="S26" s="9" t="str">
        <f t="shared" ca="1" si="58"/>
        <v>EXPIRED</v>
      </c>
      <c r="T26" s="9" t="str">
        <f t="shared" ca="1" si="84"/>
        <v>EXPIRED</v>
      </c>
      <c r="U26" s="9">
        <f ca="1">+Taxes!L31</f>
        <v>0</v>
      </c>
      <c r="V26" s="9" t="str">
        <f t="shared" ca="1" si="59"/>
        <v>EXPIRED</v>
      </c>
      <c r="W26" s="9" t="e">
        <f t="shared" ca="1" si="85"/>
        <v>#VALUE!</v>
      </c>
      <c r="X26" s="66"/>
      <c r="Y26" s="9" t="str">
        <f t="shared" ca="1" si="60"/>
        <v>EXPIRED</v>
      </c>
      <c r="Z26" s="9" t="str">
        <f t="shared" ca="1" si="61"/>
        <v>--</v>
      </c>
      <c r="AA26" s="9" t="str">
        <f t="shared" ca="1" si="62"/>
        <v>EXPIRED</v>
      </c>
      <c r="AB26" s="9" t="str">
        <f t="shared" ca="1" si="63"/>
        <v>--</v>
      </c>
      <c r="AC26" s="9" t="str">
        <f t="shared" ca="1" si="64"/>
        <v>EXPIRED</v>
      </c>
      <c r="AD26" s="9" t="str">
        <f t="shared" ca="1" si="65"/>
        <v>--</v>
      </c>
      <c r="AE26" s="9" t="str">
        <f t="shared" ca="1" si="9"/>
        <v>EXPIRED</v>
      </c>
      <c r="AF26" s="66"/>
      <c r="AG26" s="9" t="str">
        <f t="shared" ca="1" si="66"/>
        <v>EXPIRED</v>
      </c>
      <c r="AH26" s="9" t="str">
        <f t="shared" ca="1" si="67"/>
        <v>--</v>
      </c>
      <c r="AI26" s="9" t="str">
        <f t="shared" ca="1" si="68"/>
        <v>EXPIRED</v>
      </c>
      <c r="AJ26" s="9" t="str">
        <f t="shared" ca="1" si="69"/>
        <v>--</v>
      </c>
      <c r="AK26" s="9" t="str">
        <f t="shared" ca="1" si="70"/>
        <v>EXPIRED</v>
      </c>
      <c r="AL26" s="9" t="str">
        <f t="shared" ca="1" si="71"/>
        <v>--</v>
      </c>
      <c r="AM26" s="9" t="str">
        <f t="shared" ca="1" si="10"/>
        <v>EXPIRED</v>
      </c>
      <c r="AN26" s="66"/>
      <c r="AO26" s="9" t="str">
        <f t="shared" ca="1" si="72"/>
        <v>EXPIRED</v>
      </c>
      <c r="AP26" s="9" t="str">
        <f t="shared" ca="1" si="73"/>
        <v>--</v>
      </c>
      <c r="AQ26" s="9" t="str">
        <f t="shared" ca="1" si="74"/>
        <v>EXPIRED</v>
      </c>
      <c r="AR26" s="9" t="str">
        <f t="shared" ca="1" si="75"/>
        <v>--</v>
      </c>
      <c r="AS26" s="9" t="str">
        <f t="shared" ca="1" si="76"/>
        <v>EXPIRED</v>
      </c>
      <c r="AT26" s="9" t="str">
        <f t="shared" ca="1" si="77"/>
        <v>--</v>
      </c>
      <c r="AU26" s="9" t="str">
        <f t="shared" ca="1" si="11"/>
        <v>EXPIRED</v>
      </c>
      <c r="AV26" s="66"/>
      <c r="AW26" s="9" t="str">
        <f t="shared" ca="1" si="78"/>
        <v>EXPIRED</v>
      </c>
      <c r="AX26" s="9" t="str">
        <f t="shared" ca="1" si="79"/>
        <v>--</v>
      </c>
      <c r="AY26" s="9" t="str">
        <f t="shared" ca="1" si="80"/>
        <v>EXPIRED</v>
      </c>
      <c r="AZ26" s="9" t="str">
        <f t="shared" ca="1" si="81"/>
        <v>--</v>
      </c>
      <c r="BA26" s="9" t="str">
        <f t="shared" ca="1" si="82"/>
        <v>EXPIRED</v>
      </c>
      <c r="BB26" s="9" t="str">
        <f t="shared" ca="1" si="83"/>
        <v>--</v>
      </c>
      <c r="BC26" s="9" t="str">
        <f t="shared" ca="1" si="12"/>
        <v>EXPIRED</v>
      </c>
      <c r="BD26" s="66"/>
    </row>
    <row r="27" spans="1:56" ht="14.45" x14ac:dyDescent="0.3">
      <c r="A27" s="14">
        <f t="shared" si="13"/>
        <v>16</v>
      </c>
      <c r="B27" s="14">
        <f t="shared" si="13"/>
        <v>56</v>
      </c>
      <c r="C27" s="38">
        <f t="shared" si="4"/>
        <v>1.372785705090612</v>
      </c>
      <c r="D27" s="66"/>
      <c r="E27" s="32" t="str">
        <f t="shared" ca="1" si="50"/>
        <v>EXPIRED</v>
      </c>
      <c r="F27" s="32" t="str">
        <f t="shared" ca="1" si="51"/>
        <v>--</v>
      </c>
      <c r="G27" s="32" t="str">
        <f t="shared" ca="1" si="52"/>
        <v>EXPIRED</v>
      </c>
      <c r="H27" s="32" t="str">
        <f ca="1">IF(Message&lt;&gt;"","--",I27*(1-IF(OR(Income!P26="NA",Income!P26=0),0.2,Income!P26)))</f>
        <v>--</v>
      </c>
      <c r="I27" s="32" t="str">
        <f t="shared" ca="1" si="53"/>
        <v>EXPIRED</v>
      </c>
      <c r="J27" s="66"/>
      <c r="K27" s="74" t="str">
        <f ca="1">IF(Message&lt;&gt;"",Message,Income!M26+Dashboard!I79+Dashboard!K79-Taxes!BR32)</f>
        <v>EXPIRED</v>
      </c>
      <c r="L27" s="74" t="str">
        <f t="shared" ca="1" si="54"/>
        <v>EXPIRED</v>
      </c>
      <c r="M27" s="5" t="str">
        <f t="shared" ca="1" si="55"/>
        <v>EXPIRED</v>
      </c>
      <c r="N27" s="5" t="str">
        <f ca="1">IF(Message&lt;&gt;"",Message,MAX(MIN(Target401K*C27,SUM(Income!D26:J26),W27+K27),-I26)+IF(W27+K27&lt;0,-M27,0))</f>
        <v>EXPIRED</v>
      </c>
      <c r="O27" s="66"/>
      <c r="P27" s="71" t="str">
        <f t="shared" ca="1" si="56"/>
        <v>EXPIRED</v>
      </c>
      <c r="Q27" s="71" t="str">
        <f t="shared" ca="1" si="57"/>
        <v>EXPIRED</v>
      </c>
      <c r="R27" s="66"/>
      <c r="S27" s="9" t="str">
        <f t="shared" ca="1" si="58"/>
        <v>EXPIRED</v>
      </c>
      <c r="T27" s="9" t="str">
        <f t="shared" ca="1" si="84"/>
        <v>EXPIRED</v>
      </c>
      <c r="U27" s="9">
        <f ca="1">+Taxes!L32</f>
        <v>0</v>
      </c>
      <c r="V27" s="9" t="str">
        <f t="shared" ca="1" si="59"/>
        <v>EXPIRED</v>
      </c>
      <c r="W27" s="9" t="e">
        <f t="shared" ca="1" si="85"/>
        <v>#VALUE!</v>
      </c>
      <c r="X27" s="66"/>
      <c r="Y27" s="9" t="str">
        <f t="shared" ca="1" si="60"/>
        <v>EXPIRED</v>
      </c>
      <c r="Z27" s="9" t="str">
        <f t="shared" ca="1" si="61"/>
        <v>--</v>
      </c>
      <c r="AA27" s="9" t="str">
        <f t="shared" ca="1" si="62"/>
        <v>EXPIRED</v>
      </c>
      <c r="AB27" s="9" t="str">
        <f t="shared" ca="1" si="63"/>
        <v>--</v>
      </c>
      <c r="AC27" s="9" t="str">
        <f t="shared" ca="1" si="64"/>
        <v>EXPIRED</v>
      </c>
      <c r="AD27" s="9" t="str">
        <f t="shared" ca="1" si="65"/>
        <v>--</v>
      </c>
      <c r="AE27" s="9" t="str">
        <f t="shared" ca="1" si="9"/>
        <v>EXPIRED</v>
      </c>
      <c r="AF27" s="66"/>
      <c r="AG27" s="9" t="str">
        <f t="shared" ca="1" si="66"/>
        <v>EXPIRED</v>
      </c>
      <c r="AH27" s="9" t="str">
        <f t="shared" ca="1" si="67"/>
        <v>--</v>
      </c>
      <c r="AI27" s="9" t="str">
        <f t="shared" ca="1" si="68"/>
        <v>EXPIRED</v>
      </c>
      <c r="AJ27" s="9" t="str">
        <f t="shared" ca="1" si="69"/>
        <v>--</v>
      </c>
      <c r="AK27" s="9" t="str">
        <f t="shared" ca="1" si="70"/>
        <v>EXPIRED</v>
      </c>
      <c r="AL27" s="9" t="str">
        <f t="shared" ca="1" si="71"/>
        <v>--</v>
      </c>
      <c r="AM27" s="9" t="str">
        <f t="shared" ca="1" si="10"/>
        <v>EXPIRED</v>
      </c>
      <c r="AN27" s="66"/>
      <c r="AO27" s="9" t="str">
        <f t="shared" ca="1" si="72"/>
        <v>EXPIRED</v>
      </c>
      <c r="AP27" s="9" t="str">
        <f t="shared" ca="1" si="73"/>
        <v>--</v>
      </c>
      <c r="AQ27" s="9" t="str">
        <f t="shared" ca="1" si="74"/>
        <v>EXPIRED</v>
      </c>
      <c r="AR27" s="9" t="str">
        <f t="shared" ca="1" si="75"/>
        <v>--</v>
      </c>
      <c r="AS27" s="9" t="str">
        <f t="shared" ca="1" si="76"/>
        <v>EXPIRED</v>
      </c>
      <c r="AT27" s="9" t="str">
        <f t="shared" ca="1" si="77"/>
        <v>--</v>
      </c>
      <c r="AU27" s="9" t="str">
        <f t="shared" ca="1" si="11"/>
        <v>EXPIRED</v>
      </c>
      <c r="AV27" s="66"/>
      <c r="AW27" s="9" t="str">
        <f t="shared" ca="1" si="78"/>
        <v>EXPIRED</v>
      </c>
      <c r="AX27" s="9" t="str">
        <f t="shared" ca="1" si="79"/>
        <v>--</v>
      </c>
      <c r="AY27" s="9" t="str">
        <f t="shared" ca="1" si="80"/>
        <v>EXPIRED</v>
      </c>
      <c r="AZ27" s="9" t="str">
        <f t="shared" ca="1" si="81"/>
        <v>--</v>
      </c>
      <c r="BA27" s="9" t="str">
        <f t="shared" ca="1" si="82"/>
        <v>EXPIRED</v>
      </c>
      <c r="BB27" s="9" t="str">
        <f t="shared" ca="1" si="83"/>
        <v>--</v>
      </c>
      <c r="BC27" s="9" t="str">
        <f t="shared" ca="1" si="12"/>
        <v>EXPIRED</v>
      </c>
      <c r="BD27" s="66"/>
    </row>
    <row r="28" spans="1:56" ht="14.45" x14ac:dyDescent="0.3">
      <c r="A28" s="14">
        <f t="shared" si="13"/>
        <v>17</v>
      </c>
      <c r="B28" s="14">
        <f t="shared" si="13"/>
        <v>57</v>
      </c>
      <c r="C28" s="38">
        <f t="shared" si="4"/>
        <v>1.4002414191924244</v>
      </c>
      <c r="D28" s="66"/>
      <c r="E28" s="32" t="str">
        <f t="shared" ca="1" si="50"/>
        <v>EXPIRED</v>
      </c>
      <c r="F28" s="32" t="str">
        <f t="shared" ca="1" si="51"/>
        <v>--</v>
      </c>
      <c r="G28" s="32" t="str">
        <f t="shared" ca="1" si="52"/>
        <v>EXPIRED</v>
      </c>
      <c r="H28" s="32" t="str">
        <f ca="1">IF(Message&lt;&gt;"","--",I28*(1-IF(OR(Income!P27="NA",Income!P27=0),0.2,Income!P27)))</f>
        <v>--</v>
      </c>
      <c r="I28" s="32" t="str">
        <f t="shared" ca="1" si="53"/>
        <v>EXPIRED</v>
      </c>
      <c r="J28" s="66"/>
      <c r="K28" s="74" t="str">
        <f ca="1">IF(Message&lt;&gt;"",Message,Income!M27+Dashboard!I80+Dashboard!K80-Taxes!BR33)</f>
        <v>EXPIRED</v>
      </c>
      <c r="L28" s="74" t="str">
        <f t="shared" ca="1" si="54"/>
        <v>EXPIRED</v>
      </c>
      <c r="M28" s="5" t="str">
        <f t="shared" ca="1" si="55"/>
        <v>EXPIRED</v>
      </c>
      <c r="N28" s="5" t="str">
        <f ca="1">IF(Message&lt;&gt;"",Message,MAX(MIN(Target401K*C28,SUM(Income!D27:J27),W28+K28),-I27)+IF(W28+K28&lt;0,-M28,0))</f>
        <v>EXPIRED</v>
      </c>
      <c r="O28" s="66"/>
      <c r="P28" s="71" t="str">
        <f t="shared" ca="1" si="56"/>
        <v>EXPIRED</v>
      </c>
      <c r="Q28" s="71" t="str">
        <f t="shared" ca="1" si="57"/>
        <v>EXPIRED</v>
      </c>
      <c r="R28" s="66"/>
      <c r="S28" s="9" t="str">
        <f t="shared" ca="1" si="58"/>
        <v>EXPIRED</v>
      </c>
      <c r="T28" s="9" t="str">
        <f t="shared" ca="1" si="84"/>
        <v>EXPIRED</v>
      </c>
      <c r="U28" s="9">
        <f ca="1">+Taxes!L33</f>
        <v>0</v>
      </c>
      <c r="V28" s="9" t="str">
        <f t="shared" ca="1" si="59"/>
        <v>EXPIRED</v>
      </c>
      <c r="W28" s="9" t="e">
        <f t="shared" ca="1" si="85"/>
        <v>#VALUE!</v>
      </c>
      <c r="X28" s="66"/>
      <c r="Y28" s="9" t="str">
        <f t="shared" ca="1" si="60"/>
        <v>EXPIRED</v>
      </c>
      <c r="Z28" s="9" t="str">
        <f t="shared" ca="1" si="61"/>
        <v>--</v>
      </c>
      <c r="AA28" s="9" t="str">
        <f t="shared" ca="1" si="62"/>
        <v>EXPIRED</v>
      </c>
      <c r="AB28" s="9" t="str">
        <f t="shared" ca="1" si="63"/>
        <v>--</v>
      </c>
      <c r="AC28" s="9" t="str">
        <f t="shared" ca="1" si="64"/>
        <v>EXPIRED</v>
      </c>
      <c r="AD28" s="9" t="str">
        <f t="shared" ca="1" si="65"/>
        <v>--</v>
      </c>
      <c r="AE28" s="9" t="str">
        <f t="shared" ca="1" si="9"/>
        <v>EXPIRED</v>
      </c>
      <c r="AF28" s="66"/>
      <c r="AG28" s="9" t="str">
        <f t="shared" ca="1" si="66"/>
        <v>EXPIRED</v>
      </c>
      <c r="AH28" s="9" t="str">
        <f t="shared" ca="1" si="67"/>
        <v>--</v>
      </c>
      <c r="AI28" s="9" t="str">
        <f t="shared" ca="1" si="68"/>
        <v>EXPIRED</v>
      </c>
      <c r="AJ28" s="9" t="str">
        <f t="shared" ca="1" si="69"/>
        <v>--</v>
      </c>
      <c r="AK28" s="9" t="str">
        <f t="shared" ca="1" si="70"/>
        <v>EXPIRED</v>
      </c>
      <c r="AL28" s="9" t="str">
        <f t="shared" ca="1" si="71"/>
        <v>--</v>
      </c>
      <c r="AM28" s="9" t="str">
        <f t="shared" ca="1" si="10"/>
        <v>EXPIRED</v>
      </c>
      <c r="AN28" s="66"/>
      <c r="AO28" s="9" t="str">
        <f t="shared" ca="1" si="72"/>
        <v>EXPIRED</v>
      </c>
      <c r="AP28" s="9" t="str">
        <f t="shared" ca="1" si="73"/>
        <v>--</v>
      </c>
      <c r="AQ28" s="9" t="str">
        <f t="shared" ca="1" si="74"/>
        <v>EXPIRED</v>
      </c>
      <c r="AR28" s="9" t="str">
        <f t="shared" ca="1" si="75"/>
        <v>--</v>
      </c>
      <c r="AS28" s="9" t="str">
        <f t="shared" ca="1" si="76"/>
        <v>EXPIRED</v>
      </c>
      <c r="AT28" s="9" t="str">
        <f t="shared" ca="1" si="77"/>
        <v>--</v>
      </c>
      <c r="AU28" s="9" t="str">
        <f t="shared" ca="1" si="11"/>
        <v>EXPIRED</v>
      </c>
      <c r="AV28" s="66"/>
      <c r="AW28" s="9" t="str">
        <f t="shared" ca="1" si="78"/>
        <v>EXPIRED</v>
      </c>
      <c r="AX28" s="9" t="str">
        <f t="shared" ca="1" si="79"/>
        <v>--</v>
      </c>
      <c r="AY28" s="9" t="str">
        <f t="shared" ca="1" si="80"/>
        <v>EXPIRED</v>
      </c>
      <c r="AZ28" s="9" t="str">
        <f t="shared" ca="1" si="81"/>
        <v>--</v>
      </c>
      <c r="BA28" s="9" t="str">
        <f t="shared" ca="1" si="82"/>
        <v>EXPIRED</v>
      </c>
      <c r="BB28" s="9" t="str">
        <f t="shared" ca="1" si="83"/>
        <v>--</v>
      </c>
      <c r="BC28" s="9" t="str">
        <f t="shared" ca="1" si="12"/>
        <v>EXPIRED</v>
      </c>
      <c r="BD28" s="66"/>
    </row>
    <row r="29" spans="1:56" ht="14.45" x14ac:dyDescent="0.3">
      <c r="A29" s="14">
        <f t="shared" ref="A29:B44" si="86">+A28+1</f>
        <v>18</v>
      </c>
      <c r="B29" s="14">
        <f t="shared" si="86"/>
        <v>58</v>
      </c>
      <c r="C29" s="38">
        <f t="shared" si="4"/>
        <v>1.4282462475762727</v>
      </c>
      <c r="D29" s="66"/>
      <c r="E29" s="32" t="str">
        <f t="shared" ca="1" si="50"/>
        <v>EXPIRED</v>
      </c>
      <c r="F29" s="32" t="str">
        <f t="shared" ca="1" si="51"/>
        <v>--</v>
      </c>
      <c r="G29" s="32" t="str">
        <f t="shared" ca="1" si="52"/>
        <v>EXPIRED</v>
      </c>
      <c r="H29" s="32" t="str">
        <f ca="1">IF(Message&lt;&gt;"","--",I29*(1-IF(OR(Income!P28="NA",Income!P28=0),0.2,Income!P28)))</f>
        <v>--</v>
      </c>
      <c r="I29" s="32" t="str">
        <f t="shared" ca="1" si="53"/>
        <v>EXPIRED</v>
      </c>
      <c r="J29" s="66"/>
      <c r="K29" s="74" t="str">
        <f ca="1">IF(Message&lt;&gt;"",Message,Income!M28+Dashboard!I81+Dashboard!K81-Taxes!BR34)</f>
        <v>EXPIRED</v>
      </c>
      <c r="L29" s="74" t="str">
        <f t="shared" ca="1" si="54"/>
        <v>EXPIRED</v>
      </c>
      <c r="M29" s="5" t="str">
        <f t="shared" ca="1" si="55"/>
        <v>EXPIRED</v>
      </c>
      <c r="N29" s="5" t="str">
        <f ca="1">IF(Message&lt;&gt;"",Message,MAX(MIN(Target401K*C29,SUM(Income!D28:J28),W29+K29),-I28)+IF(W29+K29&lt;0,-M29,0))</f>
        <v>EXPIRED</v>
      </c>
      <c r="O29" s="66"/>
      <c r="P29" s="71" t="str">
        <f t="shared" ca="1" si="56"/>
        <v>EXPIRED</v>
      </c>
      <c r="Q29" s="71" t="str">
        <f t="shared" ca="1" si="57"/>
        <v>EXPIRED</v>
      </c>
      <c r="R29" s="66"/>
      <c r="S29" s="9" t="str">
        <f t="shared" ca="1" si="58"/>
        <v>EXPIRED</v>
      </c>
      <c r="T29" s="9" t="str">
        <f t="shared" ca="1" si="84"/>
        <v>EXPIRED</v>
      </c>
      <c r="U29" s="9">
        <f ca="1">+Taxes!L34</f>
        <v>0</v>
      </c>
      <c r="V29" s="9" t="str">
        <f t="shared" ca="1" si="59"/>
        <v>EXPIRED</v>
      </c>
      <c r="W29" s="9" t="e">
        <f t="shared" ca="1" si="85"/>
        <v>#VALUE!</v>
      </c>
      <c r="X29" s="66"/>
      <c r="Y29" s="9" t="str">
        <f t="shared" ca="1" si="60"/>
        <v>EXPIRED</v>
      </c>
      <c r="Z29" s="9" t="str">
        <f t="shared" ca="1" si="61"/>
        <v>--</v>
      </c>
      <c r="AA29" s="9" t="str">
        <f t="shared" ca="1" si="62"/>
        <v>EXPIRED</v>
      </c>
      <c r="AB29" s="9" t="str">
        <f t="shared" ca="1" si="63"/>
        <v>--</v>
      </c>
      <c r="AC29" s="9" t="str">
        <f t="shared" ca="1" si="64"/>
        <v>EXPIRED</v>
      </c>
      <c r="AD29" s="9" t="str">
        <f t="shared" ca="1" si="65"/>
        <v>--</v>
      </c>
      <c r="AE29" s="9" t="str">
        <f t="shared" ca="1" si="9"/>
        <v>EXPIRED</v>
      </c>
      <c r="AF29" s="66"/>
      <c r="AG29" s="9" t="str">
        <f t="shared" ca="1" si="66"/>
        <v>EXPIRED</v>
      </c>
      <c r="AH29" s="9" t="str">
        <f t="shared" ca="1" si="67"/>
        <v>--</v>
      </c>
      <c r="AI29" s="9" t="str">
        <f t="shared" ca="1" si="68"/>
        <v>EXPIRED</v>
      </c>
      <c r="AJ29" s="9" t="str">
        <f t="shared" ca="1" si="69"/>
        <v>--</v>
      </c>
      <c r="AK29" s="9" t="str">
        <f t="shared" ca="1" si="70"/>
        <v>EXPIRED</v>
      </c>
      <c r="AL29" s="9" t="str">
        <f t="shared" ca="1" si="71"/>
        <v>--</v>
      </c>
      <c r="AM29" s="9" t="str">
        <f t="shared" ca="1" si="10"/>
        <v>EXPIRED</v>
      </c>
      <c r="AN29" s="66"/>
      <c r="AO29" s="9" t="str">
        <f t="shared" ca="1" si="72"/>
        <v>EXPIRED</v>
      </c>
      <c r="AP29" s="9" t="str">
        <f t="shared" ca="1" si="73"/>
        <v>--</v>
      </c>
      <c r="AQ29" s="9" t="str">
        <f t="shared" ca="1" si="74"/>
        <v>EXPIRED</v>
      </c>
      <c r="AR29" s="9" t="str">
        <f t="shared" ca="1" si="75"/>
        <v>--</v>
      </c>
      <c r="AS29" s="9" t="str">
        <f t="shared" ca="1" si="76"/>
        <v>EXPIRED</v>
      </c>
      <c r="AT29" s="9" t="str">
        <f t="shared" ca="1" si="77"/>
        <v>--</v>
      </c>
      <c r="AU29" s="9" t="str">
        <f t="shared" ca="1" si="11"/>
        <v>EXPIRED</v>
      </c>
      <c r="AV29" s="66"/>
      <c r="AW29" s="9" t="str">
        <f t="shared" ca="1" si="78"/>
        <v>EXPIRED</v>
      </c>
      <c r="AX29" s="9" t="str">
        <f t="shared" ca="1" si="79"/>
        <v>--</v>
      </c>
      <c r="AY29" s="9" t="str">
        <f t="shared" ca="1" si="80"/>
        <v>EXPIRED</v>
      </c>
      <c r="AZ29" s="9" t="str">
        <f t="shared" ca="1" si="81"/>
        <v>--</v>
      </c>
      <c r="BA29" s="9" t="str">
        <f t="shared" ca="1" si="82"/>
        <v>EXPIRED</v>
      </c>
      <c r="BB29" s="9" t="str">
        <f t="shared" ca="1" si="83"/>
        <v>--</v>
      </c>
      <c r="BC29" s="9" t="str">
        <f t="shared" ca="1" si="12"/>
        <v>EXPIRED</v>
      </c>
      <c r="BD29" s="66"/>
    </row>
    <row r="30" spans="1:56" ht="14.45" x14ac:dyDescent="0.3">
      <c r="A30" s="14">
        <f t="shared" si="86"/>
        <v>19</v>
      </c>
      <c r="B30" s="14">
        <f t="shared" si="86"/>
        <v>59</v>
      </c>
      <c r="C30" s="38">
        <f t="shared" si="4"/>
        <v>1.4568111725277981</v>
      </c>
      <c r="D30" s="66"/>
      <c r="E30" s="32" t="str">
        <f t="shared" ca="1" si="50"/>
        <v>EXPIRED</v>
      </c>
      <c r="F30" s="32" t="str">
        <f t="shared" ca="1" si="51"/>
        <v>--</v>
      </c>
      <c r="G30" s="32" t="str">
        <f t="shared" ca="1" si="52"/>
        <v>EXPIRED</v>
      </c>
      <c r="H30" s="32" t="str">
        <f ca="1">IF(Message&lt;&gt;"","--",I30*(1-IF(OR(Income!P29="NA",Income!P29=0),0.2,Income!P29)))</f>
        <v>--</v>
      </c>
      <c r="I30" s="32" t="str">
        <f t="shared" ca="1" si="53"/>
        <v>EXPIRED</v>
      </c>
      <c r="J30" s="66"/>
      <c r="K30" s="74" t="str">
        <f ca="1">IF(Message&lt;&gt;"",Message,Income!M29+Dashboard!I82+Dashboard!K82-Taxes!BR35)</f>
        <v>EXPIRED</v>
      </c>
      <c r="L30" s="74" t="str">
        <f t="shared" ca="1" si="54"/>
        <v>EXPIRED</v>
      </c>
      <c r="M30" s="5" t="str">
        <f t="shared" ca="1" si="55"/>
        <v>EXPIRED</v>
      </c>
      <c r="N30" s="5" t="str">
        <f ca="1">IF(Message&lt;&gt;"",Message,MAX(MIN(Target401K*C30,SUM(Income!D29:J29),W30+K30),-I29)+IF(W30+K30&lt;0,-M30,0))</f>
        <v>EXPIRED</v>
      </c>
      <c r="O30" s="66"/>
      <c r="P30" s="71" t="str">
        <f t="shared" ca="1" si="56"/>
        <v>EXPIRED</v>
      </c>
      <c r="Q30" s="71" t="str">
        <f t="shared" ca="1" si="57"/>
        <v>EXPIRED</v>
      </c>
      <c r="R30" s="66"/>
      <c r="S30" s="9" t="str">
        <f t="shared" ca="1" si="58"/>
        <v>EXPIRED</v>
      </c>
      <c r="T30" s="9" t="str">
        <f t="shared" ca="1" si="84"/>
        <v>EXPIRED</v>
      </c>
      <c r="U30" s="9">
        <f ca="1">+Taxes!L35</f>
        <v>0</v>
      </c>
      <c r="V30" s="9" t="str">
        <f t="shared" ca="1" si="59"/>
        <v>EXPIRED</v>
      </c>
      <c r="W30" s="9" t="e">
        <f t="shared" ca="1" si="85"/>
        <v>#VALUE!</v>
      </c>
      <c r="X30" s="66"/>
      <c r="Y30" s="9" t="str">
        <f t="shared" ca="1" si="60"/>
        <v>EXPIRED</v>
      </c>
      <c r="Z30" s="9" t="str">
        <f t="shared" ca="1" si="61"/>
        <v>--</v>
      </c>
      <c r="AA30" s="9" t="str">
        <f t="shared" ca="1" si="62"/>
        <v>EXPIRED</v>
      </c>
      <c r="AB30" s="9" t="str">
        <f t="shared" ca="1" si="63"/>
        <v>--</v>
      </c>
      <c r="AC30" s="9" t="str">
        <f t="shared" ca="1" si="64"/>
        <v>EXPIRED</v>
      </c>
      <c r="AD30" s="9" t="str">
        <f t="shared" ca="1" si="65"/>
        <v>--</v>
      </c>
      <c r="AE30" s="9" t="str">
        <f t="shared" ca="1" si="9"/>
        <v>EXPIRED</v>
      </c>
      <c r="AF30" s="66"/>
      <c r="AG30" s="9" t="str">
        <f t="shared" ca="1" si="66"/>
        <v>EXPIRED</v>
      </c>
      <c r="AH30" s="9" t="str">
        <f t="shared" ca="1" si="67"/>
        <v>--</v>
      </c>
      <c r="AI30" s="9" t="str">
        <f t="shared" ca="1" si="68"/>
        <v>EXPIRED</v>
      </c>
      <c r="AJ30" s="9" t="str">
        <f t="shared" ca="1" si="69"/>
        <v>--</v>
      </c>
      <c r="AK30" s="9" t="str">
        <f t="shared" ca="1" si="70"/>
        <v>EXPIRED</v>
      </c>
      <c r="AL30" s="9" t="str">
        <f t="shared" ca="1" si="71"/>
        <v>--</v>
      </c>
      <c r="AM30" s="9" t="str">
        <f t="shared" ca="1" si="10"/>
        <v>EXPIRED</v>
      </c>
      <c r="AN30" s="66"/>
      <c r="AO30" s="9" t="str">
        <f t="shared" ca="1" si="72"/>
        <v>EXPIRED</v>
      </c>
      <c r="AP30" s="9" t="str">
        <f t="shared" ca="1" si="73"/>
        <v>--</v>
      </c>
      <c r="AQ30" s="9" t="str">
        <f t="shared" ca="1" si="74"/>
        <v>EXPIRED</v>
      </c>
      <c r="AR30" s="9" t="str">
        <f t="shared" ca="1" si="75"/>
        <v>--</v>
      </c>
      <c r="AS30" s="9" t="str">
        <f t="shared" ca="1" si="76"/>
        <v>EXPIRED</v>
      </c>
      <c r="AT30" s="9" t="str">
        <f t="shared" ca="1" si="77"/>
        <v>--</v>
      </c>
      <c r="AU30" s="9" t="str">
        <f t="shared" ca="1" si="11"/>
        <v>EXPIRED</v>
      </c>
      <c r="AV30" s="66"/>
      <c r="AW30" s="9" t="str">
        <f t="shared" ca="1" si="78"/>
        <v>EXPIRED</v>
      </c>
      <c r="AX30" s="9" t="str">
        <f t="shared" ca="1" si="79"/>
        <v>--</v>
      </c>
      <c r="AY30" s="9" t="str">
        <f t="shared" ca="1" si="80"/>
        <v>EXPIRED</v>
      </c>
      <c r="AZ30" s="9" t="str">
        <f t="shared" ca="1" si="81"/>
        <v>--</v>
      </c>
      <c r="BA30" s="9" t="str">
        <f t="shared" ca="1" si="82"/>
        <v>EXPIRED</v>
      </c>
      <c r="BB30" s="9" t="str">
        <f t="shared" ca="1" si="83"/>
        <v>--</v>
      </c>
      <c r="BC30" s="9" t="str">
        <f t="shared" ca="1" si="12"/>
        <v>EXPIRED</v>
      </c>
      <c r="BD30" s="66"/>
    </row>
    <row r="31" spans="1:56" ht="14.45" x14ac:dyDescent="0.3">
      <c r="A31" s="14">
        <f t="shared" si="86"/>
        <v>20</v>
      </c>
      <c r="B31" s="14">
        <f t="shared" si="86"/>
        <v>60</v>
      </c>
      <c r="C31" s="38">
        <f t="shared" si="4"/>
        <v>1.4859473959783542</v>
      </c>
      <c r="D31" s="66"/>
      <c r="E31" s="32" t="str">
        <f t="shared" ca="1" si="50"/>
        <v>EXPIRED</v>
      </c>
      <c r="F31" s="32" t="str">
        <f t="shared" ca="1" si="51"/>
        <v>--</v>
      </c>
      <c r="G31" s="32" t="str">
        <f t="shared" ca="1" si="52"/>
        <v>EXPIRED</v>
      </c>
      <c r="H31" s="32" t="str">
        <f ca="1">IF(Message&lt;&gt;"","--",I31*(1-IF(OR(Income!P30="NA",Income!P30=0),0.2,Income!P30)))</f>
        <v>--</v>
      </c>
      <c r="I31" s="32" t="str">
        <f t="shared" ca="1" si="53"/>
        <v>EXPIRED</v>
      </c>
      <c r="J31" s="66"/>
      <c r="K31" s="74" t="str">
        <f ca="1">IF(Message&lt;&gt;"",Message,Income!M30+Dashboard!I83+Dashboard!K83-Taxes!BR36)</f>
        <v>EXPIRED</v>
      </c>
      <c r="L31" s="74" t="str">
        <f t="shared" ca="1" si="54"/>
        <v>EXPIRED</v>
      </c>
      <c r="M31" s="5" t="str">
        <f t="shared" ca="1" si="55"/>
        <v>EXPIRED</v>
      </c>
      <c r="N31" s="5" t="str">
        <f ca="1">IF(Message&lt;&gt;"",Message,MAX(MIN(Target401K*C31,SUM(Income!D30:J30),W31+K31),-I30)+IF(W31+K31&lt;0,-M31,0))</f>
        <v>EXPIRED</v>
      </c>
      <c r="O31" s="66"/>
      <c r="P31" s="71" t="str">
        <f t="shared" ca="1" si="56"/>
        <v>EXPIRED</v>
      </c>
      <c r="Q31" s="71" t="str">
        <f t="shared" ca="1" si="57"/>
        <v>EXPIRED</v>
      </c>
      <c r="R31" s="66"/>
      <c r="S31" s="9" t="str">
        <f t="shared" ca="1" si="58"/>
        <v>EXPIRED</v>
      </c>
      <c r="T31" s="9" t="str">
        <f t="shared" ca="1" si="84"/>
        <v>EXPIRED</v>
      </c>
      <c r="U31" s="9">
        <f ca="1">+Taxes!L36</f>
        <v>0</v>
      </c>
      <c r="V31" s="9" t="str">
        <f t="shared" ca="1" si="59"/>
        <v>EXPIRED</v>
      </c>
      <c r="W31" s="9" t="e">
        <f t="shared" ca="1" si="85"/>
        <v>#VALUE!</v>
      </c>
      <c r="X31" s="66"/>
      <c r="Y31" s="9" t="str">
        <f t="shared" ca="1" si="60"/>
        <v>EXPIRED</v>
      </c>
      <c r="Z31" s="9" t="str">
        <f t="shared" ca="1" si="61"/>
        <v>--</v>
      </c>
      <c r="AA31" s="9" t="str">
        <f t="shared" ca="1" si="62"/>
        <v>EXPIRED</v>
      </c>
      <c r="AB31" s="9" t="str">
        <f t="shared" ca="1" si="63"/>
        <v>--</v>
      </c>
      <c r="AC31" s="9" t="str">
        <f t="shared" ca="1" si="64"/>
        <v>EXPIRED</v>
      </c>
      <c r="AD31" s="9" t="str">
        <f t="shared" ca="1" si="65"/>
        <v>--</v>
      </c>
      <c r="AE31" s="9" t="str">
        <f t="shared" ca="1" si="9"/>
        <v>EXPIRED</v>
      </c>
      <c r="AF31" s="66"/>
      <c r="AG31" s="9" t="str">
        <f t="shared" ca="1" si="66"/>
        <v>EXPIRED</v>
      </c>
      <c r="AH31" s="9" t="str">
        <f t="shared" ca="1" si="67"/>
        <v>--</v>
      </c>
      <c r="AI31" s="9" t="str">
        <f t="shared" ca="1" si="68"/>
        <v>EXPIRED</v>
      </c>
      <c r="AJ31" s="9" t="str">
        <f t="shared" ca="1" si="69"/>
        <v>--</v>
      </c>
      <c r="AK31" s="9" t="str">
        <f t="shared" ca="1" si="70"/>
        <v>EXPIRED</v>
      </c>
      <c r="AL31" s="9" t="str">
        <f t="shared" ca="1" si="71"/>
        <v>--</v>
      </c>
      <c r="AM31" s="9" t="str">
        <f t="shared" ca="1" si="10"/>
        <v>EXPIRED</v>
      </c>
      <c r="AN31" s="66"/>
      <c r="AO31" s="9" t="str">
        <f t="shared" ca="1" si="72"/>
        <v>EXPIRED</v>
      </c>
      <c r="AP31" s="9" t="str">
        <f t="shared" ca="1" si="73"/>
        <v>--</v>
      </c>
      <c r="AQ31" s="9" t="str">
        <f t="shared" ca="1" si="74"/>
        <v>EXPIRED</v>
      </c>
      <c r="AR31" s="9" t="str">
        <f t="shared" ca="1" si="75"/>
        <v>--</v>
      </c>
      <c r="AS31" s="9" t="str">
        <f t="shared" ca="1" si="76"/>
        <v>EXPIRED</v>
      </c>
      <c r="AT31" s="9" t="str">
        <f t="shared" ca="1" si="77"/>
        <v>--</v>
      </c>
      <c r="AU31" s="9" t="str">
        <f t="shared" ca="1" si="11"/>
        <v>EXPIRED</v>
      </c>
      <c r="AV31" s="66"/>
      <c r="AW31" s="9" t="str">
        <f t="shared" ca="1" si="78"/>
        <v>EXPIRED</v>
      </c>
      <c r="AX31" s="9" t="str">
        <f t="shared" ca="1" si="79"/>
        <v>--</v>
      </c>
      <c r="AY31" s="9" t="str">
        <f t="shared" ca="1" si="80"/>
        <v>EXPIRED</v>
      </c>
      <c r="AZ31" s="9" t="str">
        <f t="shared" ca="1" si="81"/>
        <v>--</v>
      </c>
      <c r="BA31" s="9" t="str">
        <f t="shared" ca="1" si="82"/>
        <v>EXPIRED</v>
      </c>
      <c r="BB31" s="9" t="str">
        <f t="shared" ca="1" si="83"/>
        <v>--</v>
      </c>
      <c r="BC31" s="9" t="str">
        <f t="shared" ca="1" si="12"/>
        <v>EXPIRED</v>
      </c>
      <c r="BD31" s="66"/>
    </row>
    <row r="32" spans="1:56" ht="14.45" x14ac:dyDescent="0.3">
      <c r="A32" s="14">
        <f t="shared" si="86"/>
        <v>21</v>
      </c>
      <c r="B32" s="14">
        <f t="shared" si="86"/>
        <v>61</v>
      </c>
      <c r="C32" s="38">
        <f t="shared" si="4"/>
        <v>1.5156663438979212</v>
      </c>
      <c r="D32" s="66"/>
      <c r="E32" s="32" t="str">
        <f t="shared" ca="1" si="50"/>
        <v>EXPIRED</v>
      </c>
      <c r="F32" s="32" t="str">
        <f t="shared" ca="1" si="51"/>
        <v>--</v>
      </c>
      <c r="G32" s="32" t="str">
        <f t="shared" ca="1" si="52"/>
        <v>EXPIRED</v>
      </c>
      <c r="H32" s="32" t="str">
        <f ca="1">IF(Message&lt;&gt;"","--",I32*(1-IF(OR(Income!P31="NA",Income!P31=0),0.2,Income!P31)))</f>
        <v>--</v>
      </c>
      <c r="I32" s="32" t="str">
        <f t="shared" ca="1" si="53"/>
        <v>EXPIRED</v>
      </c>
      <c r="J32" s="66"/>
      <c r="K32" s="74" t="str">
        <f ca="1">IF(Message&lt;&gt;"",Message,Income!M31+Dashboard!I84+Dashboard!K84-Taxes!BR37)</f>
        <v>EXPIRED</v>
      </c>
      <c r="L32" s="74" t="str">
        <f t="shared" ca="1" si="54"/>
        <v>EXPIRED</v>
      </c>
      <c r="M32" s="5" t="str">
        <f t="shared" ca="1" si="55"/>
        <v>EXPIRED</v>
      </c>
      <c r="N32" s="5" t="str">
        <f ca="1">IF(Message&lt;&gt;"",Message,MAX(MIN(Target401K*C32,SUM(Income!D31:J31),W32+K32),-I31)+IF(W32+K32&lt;0,-M32,0))</f>
        <v>EXPIRED</v>
      </c>
      <c r="O32" s="66"/>
      <c r="P32" s="71" t="str">
        <f t="shared" ca="1" si="56"/>
        <v>EXPIRED</v>
      </c>
      <c r="Q32" s="71" t="str">
        <f t="shared" ca="1" si="57"/>
        <v>EXPIRED</v>
      </c>
      <c r="R32" s="66"/>
      <c r="S32" s="9" t="str">
        <f t="shared" ca="1" si="58"/>
        <v>EXPIRED</v>
      </c>
      <c r="T32" s="9" t="str">
        <f t="shared" ca="1" si="84"/>
        <v>EXPIRED</v>
      </c>
      <c r="U32" s="9">
        <f ca="1">+Taxes!L37</f>
        <v>0</v>
      </c>
      <c r="V32" s="9" t="str">
        <f t="shared" ca="1" si="59"/>
        <v>EXPIRED</v>
      </c>
      <c r="W32" s="9" t="e">
        <f t="shared" ca="1" si="85"/>
        <v>#VALUE!</v>
      </c>
      <c r="X32" s="66"/>
      <c r="Y32" s="9" t="str">
        <f t="shared" ca="1" si="60"/>
        <v>EXPIRED</v>
      </c>
      <c r="Z32" s="9" t="str">
        <f t="shared" ca="1" si="61"/>
        <v>--</v>
      </c>
      <c r="AA32" s="9" t="str">
        <f t="shared" ca="1" si="62"/>
        <v>EXPIRED</v>
      </c>
      <c r="AB32" s="9" t="str">
        <f t="shared" ca="1" si="63"/>
        <v>--</v>
      </c>
      <c r="AC32" s="9" t="str">
        <f t="shared" ca="1" si="64"/>
        <v>EXPIRED</v>
      </c>
      <c r="AD32" s="9" t="str">
        <f t="shared" ca="1" si="65"/>
        <v>--</v>
      </c>
      <c r="AE32" s="9" t="str">
        <f t="shared" ca="1" si="9"/>
        <v>EXPIRED</v>
      </c>
      <c r="AF32" s="66"/>
      <c r="AG32" s="9" t="str">
        <f t="shared" ca="1" si="66"/>
        <v>EXPIRED</v>
      </c>
      <c r="AH32" s="9" t="str">
        <f t="shared" ca="1" si="67"/>
        <v>--</v>
      </c>
      <c r="AI32" s="9" t="str">
        <f t="shared" ca="1" si="68"/>
        <v>EXPIRED</v>
      </c>
      <c r="AJ32" s="9" t="str">
        <f t="shared" ca="1" si="69"/>
        <v>--</v>
      </c>
      <c r="AK32" s="9" t="str">
        <f t="shared" ca="1" si="70"/>
        <v>EXPIRED</v>
      </c>
      <c r="AL32" s="9" t="str">
        <f t="shared" ca="1" si="71"/>
        <v>--</v>
      </c>
      <c r="AM32" s="9" t="str">
        <f t="shared" ca="1" si="10"/>
        <v>EXPIRED</v>
      </c>
      <c r="AN32" s="66"/>
      <c r="AO32" s="9" t="str">
        <f t="shared" ca="1" si="72"/>
        <v>EXPIRED</v>
      </c>
      <c r="AP32" s="9" t="str">
        <f t="shared" ca="1" si="73"/>
        <v>--</v>
      </c>
      <c r="AQ32" s="9" t="str">
        <f t="shared" ca="1" si="74"/>
        <v>EXPIRED</v>
      </c>
      <c r="AR32" s="9" t="str">
        <f t="shared" ca="1" si="75"/>
        <v>--</v>
      </c>
      <c r="AS32" s="9" t="str">
        <f t="shared" ca="1" si="76"/>
        <v>EXPIRED</v>
      </c>
      <c r="AT32" s="9" t="str">
        <f t="shared" ca="1" si="77"/>
        <v>--</v>
      </c>
      <c r="AU32" s="9" t="str">
        <f t="shared" ca="1" si="11"/>
        <v>EXPIRED</v>
      </c>
      <c r="AV32" s="66"/>
      <c r="AW32" s="9" t="str">
        <f t="shared" ca="1" si="78"/>
        <v>EXPIRED</v>
      </c>
      <c r="AX32" s="9" t="str">
        <f t="shared" ca="1" si="79"/>
        <v>--</v>
      </c>
      <c r="AY32" s="9" t="str">
        <f t="shared" ca="1" si="80"/>
        <v>EXPIRED</v>
      </c>
      <c r="AZ32" s="9" t="str">
        <f t="shared" ca="1" si="81"/>
        <v>--</v>
      </c>
      <c r="BA32" s="9" t="str">
        <f t="shared" ca="1" si="82"/>
        <v>EXPIRED</v>
      </c>
      <c r="BB32" s="9" t="str">
        <f t="shared" ca="1" si="83"/>
        <v>--</v>
      </c>
      <c r="BC32" s="9" t="str">
        <f t="shared" ca="1" si="12"/>
        <v>EXPIRED</v>
      </c>
      <c r="BD32" s="66"/>
    </row>
    <row r="33" spans="1:56" ht="14.45" x14ac:dyDescent="0.3">
      <c r="A33" s="14">
        <f t="shared" si="86"/>
        <v>22</v>
      </c>
      <c r="B33" s="14">
        <f t="shared" si="86"/>
        <v>62</v>
      </c>
      <c r="C33" s="38">
        <f t="shared" si="4"/>
        <v>1.5459796707758797</v>
      </c>
      <c r="D33" s="66"/>
      <c r="E33" s="32" t="str">
        <f t="shared" ca="1" si="50"/>
        <v>EXPIRED</v>
      </c>
      <c r="F33" s="32" t="str">
        <f t="shared" ca="1" si="51"/>
        <v>--</v>
      </c>
      <c r="G33" s="32" t="str">
        <f t="shared" ca="1" si="52"/>
        <v>EXPIRED</v>
      </c>
      <c r="H33" s="32" t="str">
        <f ca="1">IF(Message&lt;&gt;"","--",I33*(1-IF(OR(Income!P32="NA",Income!P32=0),0.2,Income!P32)))</f>
        <v>--</v>
      </c>
      <c r="I33" s="32" t="str">
        <f t="shared" ca="1" si="53"/>
        <v>EXPIRED</v>
      </c>
      <c r="J33" s="66"/>
      <c r="K33" s="74" t="str">
        <f ca="1">IF(Message&lt;&gt;"",Message,Income!M32+Dashboard!I85+Dashboard!K85-Taxes!BR38)</f>
        <v>EXPIRED</v>
      </c>
      <c r="L33" s="74" t="str">
        <f t="shared" ca="1" si="54"/>
        <v>EXPIRED</v>
      </c>
      <c r="M33" s="5" t="str">
        <f t="shared" ca="1" si="55"/>
        <v>EXPIRED</v>
      </c>
      <c r="N33" s="5" t="str">
        <f ca="1">IF(Message&lt;&gt;"",Message,MAX(MIN(Target401K*C33,SUM(Income!D32:J32),W33+K33),-I32)+IF(W33+K33&lt;0,-M33,0))</f>
        <v>EXPIRED</v>
      </c>
      <c r="O33" s="66"/>
      <c r="P33" s="71" t="str">
        <f t="shared" ca="1" si="56"/>
        <v>EXPIRED</v>
      </c>
      <c r="Q33" s="71" t="str">
        <f t="shared" ca="1" si="57"/>
        <v>EXPIRED</v>
      </c>
      <c r="R33" s="66"/>
      <c r="S33" s="9" t="str">
        <f t="shared" ca="1" si="58"/>
        <v>EXPIRED</v>
      </c>
      <c r="T33" s="9" t="str">
        <f t="shared" ca="1" si="84"/>
        <v>EXPIRED</v>
      </c>
      <c r="U33" s="9">
        <f ca="1">+Taxes!L38</f>
        <v>0</v>
      </c>
      <c r="V33" s="9" t="str">
        <f t="shared" ca="1" si="59"/>
        <v>EXPIRED</v>
      </c>
      <c r="W33" s="9" t="e">
        <f t="shared" ca="1" si="85"/>
        <v>#VALUE!</v>
      </c>
      <c r="X33" s="66"/>
      <c r="Y33" s="9" t="str">
        <f t="shared" ca="1" si="60"/>
        <v>EXPIRED</v>
      </c>
      <c r="Z33" s="9" t="str">
        <f t="shared" ca="1" si="61"/>
        <v>--</v>
      </c>
      <c r="AA33" s="9" t="str">
        <f t="shared" ca="1" si="62"/>
        <v>EXPIRED</v>
      </c>
      <c r="AB33" s="9" t="str">
        <f t="shared" ca="1" si="63"/>
        <v>--</v>
      </c>
      <c r="AC33" s="9" t="str">
        <f t="shared" ca="1" si="64"/>
        <v>EXPIRED</v>
      </c>
      <c r="AD33" s="9" t="str">
        <f t="shared" ca="1" si="65"/>
        <v>--</v>
      </c>
      <c r="AE33" s="9" t="str">
        <f t="shared" ca="1" si="9"/>
        <v>EXPIRED</v>
      </c>
      <c r="AF33" s="66"/>
      <c r="AG33" s="9" t="str">
        <f t="shared" ca="1" si="66"/>
        <v>EXPIRED</v>
      </c>
      <c r="AH33" s="9" t="str">
        <f t="shared" ca="1" si="67"/>
        <v>--</v>
      </c>
      <c r="AI33" s="9" t="str">
        <f t="shared" ca="1" si="68"/>
        <v>EXPIRED</v>
      </c>
      <c r="AJ33" s="9" t="str">
        <f t="shared" ca="1" si="69"/>
        <v>--</v>
      </c>
      <c r="AK33" s="9" t="str">
        <f t="shared" ca="1" si="70"/>
        <v>EXPIRED</v>
      </c>
      <c r="AL33" s="9" t="str">
        <f t="shared" ca="1" si="71"/>
        <v>--</v>
      </c>
      <c r="AM33" s="9" t="str">
        <f t="shared" ca="1" si="10"/>
        <v>EXPIRED</v>
      </c>
      <c r="AN33" s="66"/>
      <c r="AO33" s="9" t="str">
        <f t="shared" ca="1" si="72"/>
        <v>EXPIRED</v>
      </c>
      <c r="AP33" s="9" t="str">
        <f t="shared" ca="1" si="73"/>
        <v>--</v>
      </c>
      <c r="AQ33" s="9" t="str">
        <f t="shared" ca="1" si="74"/>
        <v>EXPIRED</v>
      </c>
      <c r="AR33" s="9" t="str">
        <f t="shared" ca="1" si="75"/>
        <v>--</v>
      </c>
      <c r="AS33" s="9" t="str">
        <f t="shared" ca="1" si="76"/>
        <v>EXPIRED</v>
      </c>
      <c r="AT33" s="9" t="str">
        <f t="shared" ca="1" si="77"/>
        <v>--</v>
      </c>
      <c r="AU33" s="9" t="str">
        <f t="shared" ca="1" si="11"/>
        <v>EXPIRED</v>
      </c>
      <c r="AV33" s="66"/>
      <c r="AW33" s="9" t="str">
        <f t="shared" ca="1" si="78"/>
        <v>EXPIRED</v>
      </c>
      <c r="AX33" s="9" t="str">
        <f t="shared" ca="1" si="79"/>
        <v>--</v>
      </c>
      <c r="AY33" s="9" t="str">
        <f t="shared" ca="1" si="80"/>
        <v>EXPIRED</v>
      </c>
      <c r="AZ33" s="9" t="str">
        <f t="shared" ca="1" si="81"/>
        <v>--</v>
      </c>
      <c r="BA33" s="9" t="str">
        <f t="shared" ca="1" si="82"/>
        <v>EXPIRED</v>
      </c>
      <c r="BB33" s="9" t="str">
        <f t="shared" ca="1" si="83"/>
        <v>--</v>
      </c>
      <c r="BC33" s="9" t="str">
        <f t="shared" ca="1" si="12"/>
        <v>EXPIRED</v>
      </c>
      <c r="BD33" s="66"/>
    </row>
    <row r="34" spans="1:56" ht="14.45" x14ac:dyDescent="0.3">
      <c r="A34" s="14">
        <f t="shared" si="86"/>
        <v>23</v>
      </c>
      <c r="B34" s="14">
        <f t="shared" si="86"/>
        <v>63</v>
      </c>
      <c r="C34" s="38">
        <f t="shared" si="4"/>
        <v>1.576899264191397</v>
      </c>
      <c r="D34" s="66"/>
      <c r="E34" s="32" t="str">
        <f t="shared" ca="1" si="50"/>
        <v>EXPIRED</v>
      </c>
      <c r="F34" s="32" t="str">
        <f t="shared" ca="1" si="51"/>
        <v>--</v>
      </c>
      <c r="G34" s="32" t="str">
        <f t="shared" ca="1" si="52"/>
        <v>EXPIRED</v>
      </c>
      <c r="H34" s="32" t="str">
        <f ca="1">IF(Message&lt;&gt;"","--",I34*(1-IF(OR(Income!P33="NA",Income!P33=0),0.2,Income!P33)))</f>
        <v>--</v>
      </c>
      <c r="I34" s="32" t="str">
        <f t="shared" ca="1" si="53"/>
        <v>EXPIRED</v>
      </c>
      <c r="J34" s="66"/>
      <c r="K34" s="74" t="str">
        <f ca="1">IF(Message&lt;&gt;"",Message,Income!M33+Dashboard!I86+Dashboard!K86-Taxes!BR39)</f>
        <v>EXPIRED</v>
      </c>
      <c r="L34" s="74" t="str">
        <f t="shared" ca="1" si="54"/>
        <v>EXPIRED</v>
      </c>
      <c r="M34" s="5" t="str">
        <f t="shared" ca="1" si="55"/>
        <v>EXPIRED</v>
      </c>
      <c r="N34" s="5" t="str">
        <f ca="1">IF(Message&lt;&gt;"",Message,MAX(MIN(Target401K*C34,SUM(Income!D33:J33),W34+K34),-I33)+IF(W34+K34&lt;0,-M34,0))</f>
        <v>EXPIRED</v>
      </c>
      <c r="O34" s="66"/>
      <c r="P34" s="71" t="str">
        <f t="shared" ca="1" si="56"/>
        <v>EXPIRED</v>
      </c>
      <c r="Q34" s="71" t="str">
        <f t="shared" ca="1" si="57"/>
        <v>EXPIRED</v>
      </c>
      <c r="R34" s="66"/>
      <c r="S34" s="9" t="str">
        <f t="shared" ca="1" si="58"/>
        <v>EXPIRED</v>
      </c>
      <c r="T34" s="9" t="str">
        <f t="shared" ca="1" si="84"/>
        <v>EXPIRED</v>
      </c>
      <c r="U34" s="9">
        <f ca="1">+Taxes!L39</f>
        <v>0</v>
      </c>
      <c r="V34" s="9" t="str">
        <f t="shared" ca="1" si="59"/>
        <v>EXPIRED</v>
      </c>
      <c r="W34" s="9" t="e">
        <f t="shared" ca="1" si="85"/>
        <v>#VALUE!</v>
      </c>
      <c r="X34" s="66"/>
      <c r="Y34" s="9" t="str">
        <f t="shared" ca="1" si="60"/>
        <v>EXPIRED</v>
      </c>
      <c r="Z34" s="9" t="str">
        <f t="shared" ca="1" si="61"/>
        <v>--</v>
      </c>
      <c r="AA34" s="9" t="str">
        <f t="shared" ca="1" si="62"/>
        <v>EXPIRED</v>
      </c>
      <c r="AB34" s="9" t="str">
        <f t="shared" ca="1" si="63"/>
        <v>--</v>
      </c>
      <c r="AC34" s="9" t="str">
        <f t="shared" ca="1" si="64"/>
        <v>EXPIRED</v>
      </c>
      <c r="AD34" s="9" t="str">
        <f t="shared" ca="1" si="65"/>
        <v>--</v>
      </c>
      <c r="AE34" s="9" t="str">
        <f t="shared" ca="1" si="9"/>
        <v>EXPIRED</v>
      </c>
      <c r="AF34" s="66"/>
      <c r="AG34" s="9" t="str">
        <f t="shared" ca="1" si="66"/>
        <v>EXPIRED</v>
      </c>
      <c r="AH34" s="9" t="str">
        <f t="shared" ca="1" si="67"/>
        <v>--</v>
      </c>
      <c r="AI34" s="9" t="str">
        <f t="shared" ca="1" si="68"/>
        <v>EXPIRED</v>
      </c>
      <c r="AJ34" s="9" t="str">
        <f t="shared" ca="1" si="69"/>
        <v>--</v>
      </c>
      <c r="AK34" s="9" t="str">
        <f t="shared" ca="1" si="70"/>
        <v>EXPIRED</v>
      </c>
      <c r="AL34" s="9" t="str">
        <f t="shared" ca="1" si="71"/>
        <v>--</v>
      </c>
      <c r="AM34" s="9" t="str">
        <f t="shared" ca="1" si="10"/>
        <v>EXPIRED</v>
      </c>
      <c r="AN34" s="66"/>
      <c r="AO34" s="9" t="str">
        <f t="shared" ca="1" si="72"/>
        <v>EXPIRED</v>
      </c>
      <c r="AP34" s="9" t="str">
        <f t="shared" ca="1" si="73"/>
        <v>--</v>
      </c>
      <c r="AQ34" s="9" t="str">
        <f t="shared" ca="1" si="74"/>
        <v>EXPIRED</v>
      </c>
      <c r="AR34" s="9" t="str">
        <f t="shared" ca="1" si="75"/>
        <v>--</v>
      </c>
      <c r="AS34" s="9" t="str">
        <f t="shared" ca="1" si="76"/>
        <v>EXPIRED</v>
      </c>
      <c r="AT34" s="9" t="str">
        <f t="shared" ca="1" si="77"/>
        <v>--</v>
      </c>
      <c r="AU34" s="9" t="str">
        <f t="shared" ca="1" si="11"/>
        <v>EXPIRED</v>
      </c>
      <c r="AV34" s="66"/>
      <c r="AW34" s="9" t="str">
        <f t="shared" ca="1" si="78"/>
        <v>EXPIRED</v>
      </c>
      <c r="AX34" s="9" t="str">
        <f t="shared" ca="1" si="79"/>
        <v>--</v>
      </c>
      <c r="AY34" s="9" t="str">
        <f t="shared" ca="1" si="80"/>
        <v>EXPIRED</v>
      </c>
      <c r="AZ34" s="9" t="str">
        <f t="shared" ca="1" si="81"/>
        <v>--</v>
      </c>
      <c r="BA34" s="9" t="str">
        <f t="shared" ca="1" si="82"/>
        <v>EXPIRED</v>
      </c>
      <c r="BB34" s="9" t="str">
        <f t="shared" ca="1" si="83"/>
        <v>--</v>
      </c>
      <c r="BC34" s="9" t="str">
        <f t="shared" ca="1" si="12"/>
        <v>EXPIRED</v>
      </c>
      <c r="BD34" s="66"/>
    </row>
    <row r="35" spans="1:56" ht="14.45" x14ac:dyDescent="0.3">
      <c r="A35" s="14">
        <f t="shared" si="86"/>
        <v>24</v>
      </c>
      <c r="B35" s="14">
        <f t="shared" si="86"/>
        <v>64</v>
      </c>
      <c r="C35" s="38">
        <f t="shared" si="4"/>
        <v>1.608437249475225</v>
      </c>
      <c r="D35" s="66"/>
      <c r="E35" s="32" t="str">
        <f t="shared" ca="1" si="50"/>
        <v>EXPIRED</v>
      </c>
      <c r="F35" s="32" t="str">
        <f t="shared" ca="1" si="51"/>
        <v>--</v>
      </c>
      <c r="G35" s="32" t="str">
        <f t="shared" ca="1" si="52"/>
        <v>EXPIRED</v>
      </c>
      <c r="H35" s="32" t="str">
        <f ca="1">IF(Message&lt;&gt;"","--",I35*(1-IF(OR(Income!P34="NA",Income!P34=0),0.2,Income!P34)))</f>
        <v>--</v>
      </c>
      <c r="I35" s="32" t="str">
        <f t="shared" ca="1" si="53"/>
        <v>EXPIRED</v>
      </c>
      <c r="J35" s="66"/>
      <c r="K35" s="74" t="str">
        <f ca="1">IF(Message&lt;&gt;"",Message,Income!M34+Dashboard!I87+Dashboard!K87-Taxes!BR40)</f>
        <v>EXPIRED</v>
      </c>
      <c r="L35" s="74" t="str">
        <f t="shared" ca="1" si="54"/>
        <v>EXPIRED</v>
      </c>
      <c r="M35" s="5" t="str">
        <f t="shared" ca="1" si="55"/>
        <v>EXPIRED</v>
      </c>
      <c r="N35" s="5" t="str">
        <f ca="1">IF(Message&lt;&gt;"",Message,MAX(MIN(Target401K*C35,SUM(Income!D34:J34),W35+K35),-I34)+IF(W35+K35&lt;0,-M35,0))</f>
        <v>EXPIRED</v>
      </c>
      <c r="O35" s="66"/>
      <c r="P35" s="71" t="str">
        <f t="shared" ca="1" si="56"/>
        <v>EXPIRED</v>
      </c>
      <c r="Q35" s="71" t="str">
        <f t="shared" ca="1" si="57"/>
        <v>EXPIRED</v>
      </c>
      <c r="R35" s="66"/>
      <c r="S35" s="9" t="str">
        <f t="shared" ca="1" si="58"/>
        <v>EXPIRED</v>
      </c>
      <c r="T35" s="9" t="str">
        <f t="shared" ca="1" si="84"/>
        <v>EXPIRED</v>
      </c>
      <c r="U35" s="9">
        <f ca="1">+Taxes!L40</f>
        <v>0</v>
      </c>
      <c r="V35" s="9" t="str">
        <f t="shared" ca="1" si="59"/>
        <v>EXPIRED</v>
      </c>
      <c r="W35" s="9" t="e">
        <f t="shared" ca="1" si="85"/>
        <v>#VALUE!</v>
      </c>
      <c r="X35" s="66"/>
      <c r="Y35" s="9" t="str">
        <f t="shared" ca="1" si="60"/>
        <v>EXPIRED</v>
      </c>
      <c r="Z35" s="9" t="str">
        <f t="shared" ca="1" si="61"/>
        <v>--</v>
      </c>
      <c r="AA35" s="9" t="str">
        <f t="shared" ca="1" si="62"/>
        <v>EXPIRED</v>
      </c>
      <c r="AB35" s="9" t="str">
        <f t="shared" ca="1" si="63"/>
        <v>--</v>
      </c>
      <c r="AC35" s="9" t="str">
        <f t="shared" ca="1" si="64"/>
        <v>EXPIRED</v>
      </c>
      <c r="AD35" s="9" t="str">
        <f t="shared" ca="1" si="65"/>
        <v>--</v>
      </c>
      <c r="AE35" s="9" t="str">
        <f t="shared" ca="1" si="9"/>
        <v>EXPIRED</v>
      </c>
      <c r="AF35" s="66"/>
      <c r="AG35" s="9" t="str">
        <f t="shared" ca="1" si="66"/>
        <v>EXPIRED</v>
      </c>
      <c r="AH35" s="9" t="str">
        <f t="shared" ca="1" si="67"/>
        <v>--</v>
      </c>
      <c r="AI35" s="9" t="str">
        <f t="shared" ca="1" si="68"/>
        <v>EXPIRED</v>
      </c>
      <c r="AJ35" s="9" t="str">
        <f t="shared" ca="1" si="69"/>
        <v>--</v>
      </c>
      <c r="AK35" s="9" t="str">
        <f t="shared" ca="1" si="70"/>
        <v>EXPIRED</v>
      </c>
      <c r="AL35" s="9" t="str">
        <f t="shared" ca="1" si="71"/>
        <v>--</v>
      </c>
      <c r="AM35" s="9" t="str">
        <f t="shared" ca="1" si="10"/>
        <v>EXPIRED</v>
      </c>
      <c r="AN35" s="66"/>
      <c r="AO35" s="9" t="str">
        <f t="shared" ca="1" si="72"/>
        <v>EXPIRED</v>
      </c>
      <c r="AP35" s="9" t="str">
        <f t="shared" ca="1" si="73"/>
        <v>--</v>
      </c>
      <c r="AQ35" s="9" t="str">
        <f t="shared" ca="1" si="74"/>
        <v>EXPIRED</v>
      </c>
      <c r="AR35" s="9" t="str">
        <f t="shared" ca="1" si="75"/>
        <v>--</v>
      </c>
      <c r="AS35" s="9" t="str">
        <f t="shared" ca="1" si="76"/>
        <v>EXPIRED</v>
      </c>
      <c r="AT35" s="9" t="str">
        <f t="shared" ca="1" si="77"/>
        <v>--</v>
      </c>
      <c r="AU35" s="9" t="str">
        <f t="shared" ca="1" si="11"/>
        <v>EXPIRED</v>
      </c>
      <c r="AV35" s="66"/>
      <c r="AW35" s="9" t="str">
        <f t="shared" ca="1" si="78"/>
        <v>EXPIRED</v>
      </c>
      <c r="AX35" s="9" t="str">
        <f t="shared" ca="1" si="79"/>
        <v>--</v>
      </c>
      <c r="AY35" s="9" t="str">
        <f t="shared" ca="1" si="80"/>
        <v>EXPIRED</v>
      </c>
      <c r="AZ35" s="9" t="str">
        <f t="shared" ca="1" si="81"/>
        <v>--</v>
      </c>
      <c r="BA35" s="9" t="str">
        <f t="shared" ca="1" si="82"/>
        <v>EXPIRED</v>
      </c>
      <c r="BB35" s="9" t="str">
        <f t="shared" ca="1" si="83"/>
        <v>--</v>
      </c>
      <c r="BC35" s="9" t="str">
        <f t="shared" ca="1" si="12"/>
        <v>EXPIRED</v>
      </c>
      <c r="BD35" s="66"/>
    </row>
    <row r="36" spans="1:56" ht="14.45" x14ac:dyDescent="0.3">
      <c r="A36" s="14">
        <f t="shared" si="86"/>
        <v>25</v>
      </c>
      <c r="B36" s="14">
        <f t="shared" si="86"/>
        <v>65</v>
      </c>
      <c r="C36" s="38">
        <f t="shared" si="4"/>
        <v>1.6406059944647295</v>
      </c>
      <c r="D36" s="66"/>
      <c r="E36" s="32" t="str">
        <f t="shared" ca="1" si="50"/>
        <v>EXPIRED</v>
      </c>
      <c r="F36" s="32" t="str">
        <f t="shared" ca="1" si="51"/>
        <v>--</v>
      </c>
      <c r="G36" s="32" t="str">
        <f t="shared" ca="1" si="52"/>
        <v>EXPIRED</v>
      </c>
      <c r="H36" s="32" t="str">
        <f ca="1">IF(Message&lt;&gt;"","--",I36*(1-IF(OR(Income!P35="NA",Income!P35=0),0.2,Income!P35)))</f>
        <v>--</v>
      </c>
      <c r="I36" s="32" t="str">
        <f t="shared" ca="1" si="53"/>
        <v>EXPIRED</v>
      </c>
      <c r="J36" s="66"/>
      <c r="K36" s="74" t="str">
        <f ca="1">IF(Message&lt;&gt;"",Message,Income!M35+Dashboard!I88+Dashboard!K88-Taxes!BR41)</f>
        <v>EXPIRED</v>
      </c>
      <c r="L36" s="74" t="str">
        <f t="shared" ca="1" si="54"/>
        <v>EXPIRED</v>
      </c>
      <c r="M36" s="5" t="str">
        <f t="shared" ca="1" si="55"/>
        <v>EXPIRED</v>
      </c>
      <c r="N36" s="5" t="str">
        <f ca="1">IF(Message&lt;&gt;"",Message,MAX(MIN(Target401K*C36,SUM(Income!D35:J35),W36+K36),-I35)+IF(W36+K36&lt;0,-M36,0))</f>
        <v>EXPIRED</v>
      </c>
      <c r="O36" s="66"/>
      <c r="P36" s="71" t="str">
        <f t="shared" ca="1" si="56"/>
        <v>EXPIRED</v>
      </c>
      <c r="Q36" s="71" t="str">
        <f t="shared" ca="1" si="57"/>
        <v>EXPIRED</v>
      </c>
      <c r="R36" s="66"/>
      <c r="S36" s="9" t="str">
        <f t="shared" ca="1" si="58"/>
        <v>EXPIRED</v>
      </c>
      <c r="T36" s="9" t="str">
        <f t="shared" ca="1" si="84"/>
        <v>EXPIRED</v>
      </c>
      <c r="U36" s="9">
        <f ca="1">+Taxes!L41</f>
        <v>0</v>
      </c>
      <c r="V36" s="9" t="str">
        <f t="shared" ca="1" si="59"/>
        <v>EXPIRED</v>
      </c>
      <c r="W36" s="9" t="e">
        <f t="shared" ca="1" si="85"/>
        <v>#VALUE!</v>
      </c>
      <c r="X36" s="66"/>
      <c r="Y36" s="9" t="str">
        <f t="shared" ca="1" si="60"/>
        <v>EXPIRED</v>
      </c>
      <c r="Z36" s="9" t="str">
        <f t="shared" ca="1" si="61"/>
        <v>--</v>
      </c>
      <c r="AA36" s="9" t="str">
        <f t="shared" ca="1" si="62"/>
        <v>EXPIRED</v>
      </c>
      <c r="AB36" s="9" t="str">
        <f t="shared" ca="1" si="63"/>
        <v>--</v>
      </c>
      <c r="AC36" s="9" t="str">
        <f t="shared" ca="1" si="64"/>
        <v>EXPIRED</v>
      </c>
      <c r="AD36" s="9" t="str">
        <f t="shared" ca="1" si="65"/>
        <v>--</v>
      </c>
      <c r="AE36" s="9" t="str">
        <f t="shared" ca="1" si="9"/>
        <v>EXPIRED</v>
      </c>
      <c r="AF36" s="66"/>
      <c r="AG36" s="9" t="str">
        <f t="shared" ca="1" si="66"/>
        <v>EXPIRED</v>
      </c>
      <c r="AH36" s="9" t="str">
        <f t="shared" ca="1" si="67"/>
        <v>--</v>
      </c>
      <c r="AI36" s="9" t="str">
        <f t="shared" ca="1" si="68"/>
        <v>EXPIRED</v>
      </c>
      <c r="AJ36" s="9" t="str">
        <f t="shared" ca="1" si="69"/>
        <v>--</v>
      </c>
      <c r="AK36" s="9" t="str">
        <f t="shared" ca="1" si="70"/>
        <v>EXPIRED</v>
      </c>
      <c r="AL36" s="9" t="str">
        <f t="shared" ca="1" si="71"/>
        <v>--</v>
      </c>
      <c r="AM36" s="9" t="str">
        <f t="shared" ca="1" si="10"/>
        <v>EXPIRED</v>
      </c>
      <c r="AN36" s="66"/>
      <c r="AO36" s="9" t="str">
        <f t="shared" ca="1" si="72"/>
        <v>EXPIRED</v>
      </c>
      <c r="AP36" s="9" t="str">
        <f t="shared" ca="1" si="73"/>
        <v>--</v>
      </c>
      <c r="AQ36" s="9" t="str">
        <f t="shared" ca="1" si="74"/>
        <v>EXPIRED</v>
      </c>
      <c r="AR36" s="9" t="str">
        <f t="shared" ca="1" si="75"/>
        <v>--</v>
      </c>
      <c r="AS36" s="9" t="str">
        <f t="shared" ca="1" si="76"/>
        <v>EXPIRED</v>
      </c>
      <c r="AT36" s="9" t="str">
        <f t="shared" ca="1" si="77"/>
        <v>--</v>
      </c>
      <c r="AU36" s="9" t="str">
        <f t="shared" ca="1" si="11"/>
        <v>EXPIRED</v>
      </c>
      <c r="AV36" s="66"/>
      <c r="AW36" s="9" t="str">
        <f t="shared" ca="1" si="78"/>
        <v>EXPIRED</v>
      </c>
      <c r="AX36" s="9" t="str">
        <f t="shared" ca="1" si="79"/>
        <v>--</v>
      </c>
      <c r="AY36" s="9" t="str">
        <f t="shared" ca="1" si="80"/>
        <v>EXPIRED</v>
      </c>
      <c r="AZ36" s="9" t="str">
        <f t="shared" ca="1" si="81"/>
        <v>--</v>
      </c>
      <c r="BA36" s="9" t="str">
        <f t="shared" ca="1" si="82"/>
        <v>EXPIRED</v>
      </c>
      <c r="BB36" s="9" t="str">
        <f t="shared" ca="1" si="83"/>
        <v>--</v>
      </c>
      <c r="BC36" s="9" t="str">
        <f t="shared" ca="1" si="12"/>
        <v>EXPIRED</v>
      </c>
      <c r="BD36" s="66"/>
    </row>
    <row r="37" spans="1:56" ht="14.45" x14ac:dyDescent="0.3">
      <c r="A37" s="14">
        <f t="shared" si="86"/>
        <v>26</v>
      </c>
      <c r="B37" s="14">
        <f t="shared" si="86"/>
        <v>66</v>
      </c>
      <c r="C37" s="38">
        <f t="shared" si="4"/>
        <v>1.6734181143540243</v>
      </c>
      <c r="D37" s="66"/>
      <c r="E37" s="32" t="str">
        <f t="shared" ca="1" si="50"/>
        <v>EXPIRED</v>
      </c>
      <c r="F37" s="32" t="str">
        <f t="shared" ca="1" si="51"/>
        <v>--</v>
      </c>
      <c r="G37" s="32" t="str">
        <f t="shared" ca="1" si="52"/>
        <v>EXPIRED</v>
      </c>
      <c r="H37" s="32" t="str">
        <f ca="1">IF(Message&lt;&gt;"","--",I37*(1-IF(OR(Income!P36="NA",Income!P36=0),0.2,Income!P36)))</f>
        <v>--</v>
      </c>
      <c r="I37" s="32" t="str">
        <f t="shared" ca="1" si="53"/>
        <v>EXPIRED</v>
      </c>
      <c r="J37" s="66"/>
      <c r="K37" s="74" t="str">
        <f ca="1">IF(Message&lt;&gt;"",Message,Income!M36+Dashboard!I89+Dashboard!K89-Taxes!BR42)</f>
        <v>EXPIRED</v>
      </c>
      <c r="L37" s="74" t="str">
        <f t="shared" ca="1" si="54"/>
        <v>EXPIRED</v>
      </c>
      <c r="M37" s="5" t="str">
        <f t="shared" ca="1" si="55"/>
        <v>EXPIRED</v>
      </c>
      <c r="N37" s="5" t="str">
        <f ca="1">IF(Message&lt;&gt;"",Message,MAX(MIN(Target401K*C37,SUM(Income!D36:J36),W37+K37),-I36)+IF(W37+K37&lt;0,-M37,0))</f>
        <v>EXPIRED</v>
      </c>
      <c r="O37" s="66"/>
      <c r="P37" s="71" t="str">
        <f t="shared" ca="1" si="56"/>
        <v>EXPIRED</v>
      </c>
      <c r="Q37" s="71" t="str">
        <f t="shared" ca="1" si="57"/>
        <v>EXPIRED</v>
      </c>
      <c r="R37" s="66"/>
      <c r="S37" s="9" t="str">
        <f t="shared" ca="1" si="58"/>
        <v>EXPIRED</v>
      </c>
      <c r="T37" s="9" t="str">
        <f t="shared" ca="1" si="84"/>
        <v>EXPIRED</v>
      </c>
      <c r="U37" s="9">
        <f ca="1">+Taxes!L42</f>
        <v>0</v>
      </c>
      <c r="V37" s="9" t="str">
        <f t="shared" ca="1" si="59"/>
        <v>EXPIRED</v>
      </c>
      <c r="W37" s="9" t="e">
        <f t="shared" ca="1" si="85"/>
        <v>#VALUE!</v>
      </c>
      <c r="X37" s="66"/>
      <c r="Y37" s="9" t="str">
        <f t="shared" ca="1" si="60"/>
        <v>EXPIRED</v>
      </c>
      <c r="Z37" s="9" t="str">
        <f t="shared" ca="1" si="61"/>
        <v>--</v>
      </c>
      <c r="AA37" s="9" t="str">
        <f t="shared" ca="1" si="62"/>
        <v>EXPIRED</v>
      </c>
      <c r="AB37" s="9" t="str">
        <f t="shared" ca="1" si="63"/>
        <v>--</v>
      </c>
      <c r="AC37" s="9" t="str">
        <f t="shared" ca="1" si="64"/>
        <v>EXPIRED</v>
      </c>
      <c r="AD37" s="9" t="str">
        <f t="shared" ca="1" si="65"/>
        <v>--</v>
      </c>
      <c r="AE37" s="9" t="str">
        <f t="shared" ca="1" si="9"/>
        <v>EXPIRED</v>
      </c>
      <c r="AF37" s="66"/>
      <c r="AG37" s="9" t="str">
        <f t="shared" ca="1" si="66"/>
        <v>EXPIRED</v>
      </c>
      <c r="AH37" s="9" t="str">
        <f t="shared" ca="1" si="67"/>
        <v>--</v>
      </c>
      <c r="AI37" s="9" t="str">
        <f t="shared" ca="1" si="68"/>
        <v>EXPIRED</v>
      </c>
      <c r="AJ37" s="9" t="str">
        <f t="shared" ca="1" si="69"/>
        <v>--</v>
      </c>
      <c r="AK37" s="9" t="str">
        <f t="shared" ca="1" si="70"/>
        <v>EXPIRED</v>
      </c>
      <c r="AL37" s="9" t="str">
        <f t="shared" ca="1" si="71"/>
        <v>--</v>
      </c>
      <c r="AM37" s="9" t="str">
        <f t="shared" ca="1" si="10"/>
        <v>EXPIRED</v>
      </c>
      <c r="AN37" s="66"/>
      <c r="AO37" s="9" t="str">
        <f t="shared" ca="1" si="72"/>
        <v>EXPIRED</v>
      </c>
      <c r="AP37" s="9" t="str">
        <f t="shared" ca="1" si="73"/>
        <v>--</v>
      </c>
      <c r="AQ37" s="9" t="str">
        <f t="shared" ca="1" si="74"/>
        <v>EXPIRED</v>
      </c>
      <c r="AR37" s="9" t="str">
        <f t="shared" ca="1" si="75"/>
        <v>--</v>
      </c>
      <c r="AS37" s="9" t="str">
        <f t="shared" ca="1" si="76"/>
        <v>EXPIRED</v>
      </c>
      <c r="AT37" s="9" t="str">
        <f t="shared" ca="1" si="77"/>
        <v>--</v>
      </c>
      <c r="AU37" s="9" t="str">
        <f t="shared" ca="1" si="11"/>
        <v>EXPIRED</v>
      </c>
      <c r="AV37" s="66"/>
      <c r="AW37" s="9" t="str">
        <f t="shared" ca="1" si="78"/>
        <v>EXPIRED</v>
      </c>
      <c r="AX37" s="9" t="str">
        <f t="shared" ca="1" si="79"/>
        <v>--</v>
      </c>
      <c r="AY37" s="9" t="str">
        <f t="shared" ca="1" si="80"/>
        <v>EXPIRED</v>
      </c>
      <c r="AZ37" s="9" t="str">
        <f t="shared" ca="1" si="81"/>
        <v>--</v>
      </c>
      <c r="BA37" s="9" t="str">
        <f t="shared" ca="1" si="82"/>
        <v>EXPIRED</v>
      </c>
      <c r="BB37" s="9" t="str">
        <f t="shared" ca="1" si="83"/>
        <v>--</v>
      </c>
      <c r="BC37" s="9" t="str">
        <f t="shared" ca="1" si="12"/>
        <v>EXPIRED</v>
      </c>
      <c r="BD37" s="66"/>
    </row>
    <row r="38" spans="1:56" ht="14.45" x14ac:dyDescent="0.3">
      <c r="A38" s="14">
        <f t="shared" si="86"/>
        <v>27</v>
      </c>
      <c r="B38" s="14">
        <f t="shared" si="86"/>
        <v>67</v>
      </c>
      <c r="C38" s="38">
        <f t="shared" si="4"/>
        <v>1.7068864766411045</v>
      </c>
      <c r="D38" s="66"/>
      <c r="E38" s="32" t="str">
        <f t="shared" ca="1" si="50"/>
        <v>EXPIRED</v>
      </c>
      <c r="F38" s="32" t="str">
        <f t="shared" ca="1" si="51"/>
        <v>--</v>
      </c>
      <c r="G38" s="32" t="str">
        <f t="shared" ca="1" si="52"/>
        <v>EXPIRED</v>
      </c>
      <c r="H38" s="32" t="str">
        <f ca="1">IF(Message&lt;&gt;"","--",I38*(1-IF(OR(Income!P37="NA",Income!P37=0),0.2,Income!P37)))</f>
        <v>--</v>
      </c>
      <c r="I38" s="32" t="str">
        <f t="shared" ca="1" si="53"/>
        <v>EXPIRED</v>
      </c>
      <c r="J38" s="66"/>
      <c r="K38" s="74" t="str">
        <f ca="1">IF(Message&lt;&gt;"",Message,Income!M37+Dashboard!I90+Dashboard!K90-Taxes!BR43)</f>
        <v>EXPIRED</v>
      </c>
      <c r="L38" s="74" t="str">
        <f t="shared" ca="1" si="54"/>
        <v>EXPIRED</v>
      </c>
      <c r="M38" s="5" t="str">
        <f t="shared" ca="1" si="55"/>
        <v>EXPIRED</v>
      </c>
      <c r="N38" s="5" t="str">
        <f ca="1">IF(Message&lt;&gt;"",Message,MAX(MIN(Target401K*C38,SUM(Income!D37:J37),W38+K38),-I37)+IF(W38+K38&lt;0,-M38,0))</f>
        <v>EXPIRED</v>
      </c>
      <c r="O38" s="66"/>
      <c r="P38" s="71" t="str">
        <f t="shared" ca="1" si="56"/>
        <v>EXPIRED</v>
      </c>
      <c r="Q38" s="71" t="str">
        <f t="shared" ca="1" si="57"/>
        <v>EXPIRED</v>
      </c>
      <c r="R38" s="66"/>
      <c r="S38" s="9" t="str">
        <f t="shared" ca="1" si="58"/>
        <v>EXPIRED</v>
      </c>
      <c r="T38" s="9" t="str">
        <f t="shared" ca="1" si="84"/>
        <v>EXPIRED</v>
      </c>
      <c r="U38" s="9">
        <f ca="1">+Taxes!L43</f>
        <v>0</v>
      </c>
      <c r="V38" s="9" t="str">
        <f t="shared" ca="1" si="59"/>
        <v>EXPIRED</v>
      </c>
      <c r="W38" s="9" t="e">
        <f t="shared" ca="1" si="85"/>
        <v>#VALUE!</v>
      </c>
      <c r="X38" s="66"/>
      <c r="Y38" s="9" t="str">
        <f t="shared" ca="1" si="60"/>
        <v>EXPIRED</v>
      </c>
      <c r="Z38" s="9" t="str">
        <f t="shared" ca="1" si="61"/>
        <v>--</v>
      </c>
      <c r="AA38" s="9" t="str">
        <f t="shared" ca="1" si="62"/>
        <v>EXPIRED</v>
      </c>
      <c r="AB38" s="9" t="str">
        <f t="shared" ca="1" si="63"/>
        <v>--</v>
      </c>
      <c r="AC38" s="9" t="str">
        <f t="shared" ca="1" si="64"/>
        <v>EXPIRED</v>
      </c>
      <c r="AD38" s="9" t="str">
        <f t="shared" ca="1" si="65"/>
        <v>--</v>
      </c>
      <c r="AE38" s="9" t="str">
        <f t="shared" ca="1" si="9"/>
        <v>EXPIRED</v>
      </c>
      <c r="AF38" s="66"/>
      <c r="AG38" s="9" t="str">
        <f t="shared" ca="1" si="66"/>
        <v>EXPIRED</v>
      </c>
      <c r="AH38" s="9" t="str">
        <f t="shared" ca="1" si="67"/>
        <v>--</v>
      </c>
      <c r="AI38" s="9" t="str">
        <f t="shared" ca="1" si="68"/>
        <v>EXPIRED</v>
      </c>
      <c r="AJ38" s="9" t="str">
        <f t="shared" ca="1" si="69"/>
        <v>--</v>
      </c>
      <c r="AK38" s="9" t="str">
        <f t="shared" ca="1" si="70"/>
        <v>EXPIRED</v>
      </c>
      <c r="AL38" s="9" t="str">
        <f t="shared" ca="1" si="71"/>
        <v>--</v>
      </c>
      <c r="AM38" s="9" t="str">
        <f t="shared" ca="1" si="10"/>
        <v>EXPIRED</v>
      </c>
      <c r="AN38" s="66"/>
      <c r="AO38" s="9" t="str">
        <f t="shared" ca="1" si="72"/>
        <v>EXPIRED</v>
      </c>
      <c r="AP38" s="9" t="str">
        <f t="shared" ca="1" si="73"/>
        <v>--</v>
      </c>
      <c r="AQ38" s="9" t="str">
        <f t="shared" ca="1" si="74"/>
        <v>EXPIRED</v>
      </c>
      <c r="AR38" s="9" t="str">
        <f t="shared" ca="1" si="75"/>
        <v>--</v>
      </c>
      <c r="AS38" s="9" t="str">
        <f t="shared" ca="1" si="76"/>
        <v>EXPIRED</v>
      </c>
      <c r="AT38" s="9" t="str">
        <f t="shared" ca="1" si="77"/>
        <v>--</v>
      </c>
      <c r="AU38" s="9" t="str">
        <f t="shared" ca="1" si="11"/>
        <v>EXPIRED</v>
      </c>
      <c r="AV38" s="66"/>
      <c r="AW38" s="9" t="str">
        <f t="shared" ca="1" si="78"/>
        <v>EXPIRED</v>
      </c>
      <c r="AX38" s="9" t="str">
        <f t="shared" ca="1" si="79"/>
        <v>--</v>
      </c>
      <c r="AY38" s="9" t="str">
        <f t="shared" ca="1" si="80"/>
        <v>EXPIRED</v>
      </c>
      <c r="AZ38" s="9" t="str">
        <f t="shared" ca="1" si="81"/>
        <v>--</v>
      </c>
      <c r="BA38" s="9" t="str">
        <f t="shared" ca="1" si="82"/>
        <v>EXPIRED</v>
      </c>
      <c r="BB38" s="9" t="str">
        <f t="shared" ca="1" si="83"/>
        <v>--</v>
      </c>
      <c r="BC38" s="9" t="str">
        <f t="shared" ca="1" si="12"/>
        <v>EXPIRED</v>
      </c>
      <c r="BD38" s="66"/>
    </row>
    <row r="39" spans="1:56" ht="14.45" x14ac:dyDescent="0.3">
      <c r="A39" s="14">
        <f t="shared" si="86"/>
        <v>28</v>
      </c>
      <c r="B39" s="14">
        <f t="shared" si="86"/>
        <v>68</v>
      </c>
      <c r="C39" s="38">
        <f t="shared" si="4"/>
        <v>1.7410242061739269</v>
      </c>
      <c r="D39" s="66"/>
      <c r="E39" s="32" t="str">
        <f t="shared" ca="1" si="50"/>
        <v>EXPIRED</v>
      </c>
      <c r="F39" s="32" t="str">
        <f t="shared" ca="1" si="51"/>
        <v>--</v>
      </c>
      <c r="G39" s="32" t="str">
        <f t="shared" ca="1" si="52"/>
        <v>EXPIRED</v>
      </c>
      <c r="H39" s="32" t="str">
        <f ca="1">IF(Message&lt;&gt;"","--",I39*(1-IF(OR(Income!P38="NA",Income!P38=0),0.2,Income!P38)))</f>
        <v>--</v>
      </c>
      <c r="I39" s="32" t="str">
        <f t="shared" ca="1" si="53"/>
        <v>EXPIRED</v>
      </c>
      <c r="J39" s="66"/>
      <c r="K39" s="74" t="str">
        <f ca="1">IF(Message&lt;&gt;"",Message,Income!M38+Dashboard!I91+Dashboard!K91-Taxes!BR44)</f>
        <v>EXPIRED</v>
      </c>
      <c r="L39" s="74" t="str">
        <f t="shared" ca="1" si="54"/>
        <v>EXPIRED</v>
      </c>
      <c r="M39" s="5" t="str">
        <f t="shared" ca="1" si="55"/>
        <v>EXPIRED</v>
      </c>
      <c r="N39" s="5" t="str">
        <f ca="1">IF(Message&lt;&gt;"",Message,MAX(MIN(Target401K*C39,SUM(Income!D38:J38),W39+K39),-I38)+IF(W39+K39&lt;0,-M39,0))</f>
        <v>EXPIRED</v>
      </c>
      <c r="O39" s="66"/>
      <c r="P39" s="71" t="str">
        <f t="shared" ca="1" si="56"/>
        <v>EXPIRED</v>
      </c>
      <c r="Q39" s="71" t="str">
        <f t="shared" ca="1" si="57"/>
        <v>EXPIRED</v>
      </c>
      <c r="R39" s="66"/>
      <c r="S39" s="9" t="str">
        <f t="shared" ca="1" si="58"/>
        <v>EXPIRED</v>
      </c>
      <c r="T39" s="9" t="str">
        <f t="shared" ca="1" si="84"/>
        <v>EXPIRED</v>
      </c>
      <c r="U39" s="9">
        <f ca="1">+Taxes!L44</f>
        <v>0</v>
      </c>
      <c r="V39" s="9" t="str">
        <f t="shared" ca="1" si="59"/>
        <v>EXPIRED</v>
      </c>
      <c r="W39" s="9" t="e">
        <f t="shared" ca="1" si="85"/>
        <v>#VALUE!</v>
      </c>
      <c r="X39" s="66"/>
      <c r="Y39" s="9" t="str">
        <f t="shared" ca="1" si="60"/>
        <v>EXPIRED</v>
      </c>
      <c r="Z39" s="9" t="str">
        <f t="shared" ca="1" si="61"/>
        <v>--</v>
      </c>
      <c r="AA39" s="9" t="str">
        <f t="shared" ca="1" si="62"/>
        <v>EXPIRED</v>
      </c>
      <c r="AB39" s="9" t="str">
        <f t="shared" ca="1" si="63"/>
        <v>--</v>
      </c>
      <c r="AC39" s="9" t="str">
        <f t="shared" ca="1" si="64"/>
        <v>EXPIRED</v>
      </c>
      <c r="AD39" s="9" t="str">
        <f t="shared" ca="1" si="65"/>
        <v>--</v>
      </c>
      <c r="AE39" s="9" t="str">
        <f t="shared" ca="1" si="9"/>
        <v>EXPIRED</v>
      </c>
      <c r="AF39" s="66"/>
      <c r="AG39" s="9" t="str">
        <f t="shared" ca="1" si="66"/>
        <v>EXPIRED</v>
      </c>
      <c r="AH39" s="9" t="str">
        <f t="shared" ca="1" si="67"/>
        <v>--</v>
      </c>
      <c r="AI39" s="9" t="str">
        <f t="shared" ca="1" si="68"/>
        <v>EXPIRED</v>
      </c>
      <c r="AJ39" s="9" t="str">
        <f t="shared" ca="1" si="69"/>
        <v>--</v>
      </c>
      <c r="AK39" s="9" t="str">
        <f t="shared" ca="1" si="70"/>
        <v>EXPIRED</v>
      </c>
      <c r="AL39" s="9" t="str">
        <f t="shared" ca="1" si="71"/>
        <v>--</v>
      </c>
      <c r="AM39" s="9" t="str">
        <f t="shared" ca="1" si="10"/>
        <v>EXPIRED</v>
      </c>
      <c r="AN39" s="66"/>
      <c r="AO39" s="9" t="str">
        <f t="shared" ca="1" si="72"/>
        <v>EXPIRED</v>
      </c>
      <c r="AP39" s="9" t="str">
        <f t="shared" ca="1" si="73"/>
        <v>--</v>
      </c>
      <c r="AQ39" s="9" t="str">
        <f t="shared" ca="1" si="74"/>
        <v>EXPIRED</v>
      </c>
      <c r="AR39" s="9" t="str">
        <f t="shared" ca="1" si="75"/>
        <v>--</v>
      </c>
      <c r="AS39" s="9" t="str">
        <f t="shared" ca="1" si="76"/>
        <v>EXPIRED</v>
      </c>
      <c r="AT39" s="9" t="str">
        <f t="shared" ca="1" si="77"/>
        <v>--</v>
      </c>
      <c r="AU39" s="9" t="str">
        <f t="shared" ca="1" si="11"/>
        <v>EXPIRED</v>
      </c>
      <c r="AV39" s="66"/>
      <c r="AW39" s="9" t="str">
        <f t="shared" ca="1" si="78"/>
        <v>EXPIRED</v>
      </c>
      <c r="AX39" s="9" t="str">
        <f t="shared" ca="1" si="79"/>
        <v>--</v>
      </c>
      <c r="AY39" s="9" t="str">
        <f t="shared" ca="1" si="80"/>
        <v>EXPIRED</v>
      </c>
      <c r="AZ39" s="9" t="str">
        <f t="shared" ca="1" si="81"/>
        <v>--</v>
      </c>
      <c r="BA39" s="9" t="str">
        <f t="shared" ca="1" si="82"/>
        <v>EXPIRED</v>
      </c>
      <c r="BB39" s="9" t="str">
        <f t="shared" ca="1" si="83"/>
        <v>--</v>
      </c>
      <c r="BC39" s="9" t="str">
        <f t="shared" ca="1" si="12"/>
        <v>EXPIRED</v>
      </c>
      <c r="BD39" s="66"/>
    </row>
    <row r="40" spans="1:56" ht="14.45" x14ac:dyDescent="0.3">
      <c r="A40" s="14">
        <f t="shared" si="86"/>
        <v>29</v>
      </c>
      <c r="B40" s="14">
        <f t="shared" si="86"/>
        <v>69</v>
      </c>
      <c r="C40" s="38">
        <f t="shared" si="4"/>
        <v>1.7758446902974052</v>
      </c>
      <c r="D40" s="66"/>
      <c r="E40" s="32" t="str">
        <f t="shared" ca="1" si="50"/>
        <v>EXPIRED</v>
      </c>
      <c r="F40" s="32" t="str">
        <f t="shared" ca="1" si="51"/>
        <v>--</v>
      </c>
      <c r="G40" s="32" t="str">
        <f t="shared" ca="1" si="52"/>
        <v>EXPIRED</v>
      </c>
      <c r="H40" s="32" t="str">
        <f ca="1">IF(Message&lt;&gt;"","--",I40*(1-IF(OR(Income!P39="NA",Income!P39=0),0.2,Income!P39)))</f>
        <v>--</v>
      </c>
      <c r="I40" s="32" t="str">
        <f t="shared" ca="1" si="53"/>
        <v>EXPIRED</v>
      </c>
      <c r="J40" s="66"/>
      <c r="K40" s="74" t="str">
        <f ca="1">IF(Message&lt;&gt;"",Message,Income!M39+Dashboard!I92+Dashboard!K92-Taxes!BR45)</f>
        <v>EXPIRED</v>
      </c>
      <c r="L40" s="74" t="str">
        <f t="shared" ca="1" si="54"/>
        <v>EXPIRED</v>
      </c>
      <c r="M40" s="5" t="str">
        <f t="shared" ca="1" si="55"/>
        <v>EXPIRED</v>
      </c>
      <c r="N40" s="5" t="str">
        <f ca="1">IF(Message&lt;&gt;"",Message,MAX(MIN(Target401K*C40,SUM(Income!D39:J39),W40+K40),-I39)+IF(W40+K40&lt;0,-M40,0))</f>
        <v>EXPIRED</v>
      </c>
      <c r="O40" s="66"/>
      <c r="P40" s="71" t="str">
        <f t="shared" ca="1" si="56"/>
        <v>EXPIRED</v>
      </c>
      <c r="Q40" s="71" t="str">
        <f t="shared" ca="1" si="57"/>
        <v>EXPIRED</v>
      </c>
      <c r="R40" s="66"/>
      <c r="S40" s="9" t="str">
        <f t="shared" ca="1" si="58"/>
        <v>EXPIRED</v>
      </c>
      <c r="T40" s="9" t="str">
        <f t="shared" ca="1" si="84"/>
        <v>EXPIRED</v>
      </c>
      <c r="U40" s="9">
        <f ca="1">+Taxes!L45</f>
        <v>0</v>
      </c>
      <c r="V40" s="9" t="str">
        <f t="shared" ca="1" si="59"/>
        <v>EXPIRED</v>
      </c>
      <c r="W40" s="9" t="e">
        <f t="shared" ca="1" si="85"/>
        <v>#VALUE!</v>
      </c>
      <c r="X40" s="66"/>
      <c r="Y40" s="9" t="str">
        <f t="shared" ca="1" si="60"/>
        <v>EXPIRED</v>
      </c>
      <c r="Z40" s="9" t="str">
        <f t="shared" ca="1" si="61"/>
        <v>--</v>
      </c>
      <c r="AA40" s="9" t="str">
        <f t="shared" ca="1" si="62"/>
        <v>EXPIRED</v>
      </c>
      <c r="AB40" s="9" t="str">
        <f t="shared" ca="1" si="63"/>
        <v>--</v>
      </c>
      <c r="AC40" s="9" t="str">
        <f t="shared" ca="1" si="64"/>
        <v>EXPIRED</v>
      </c>
      <c r="AD40" s="9" t="str">
        <f t="shared" ca="1" si="65"/>
        <v>--</v>
      </c>
      <c r="AE40" s="9" t="str">
        <f t="shared" ca="1" si="9"/>
        <v>EXPIRED</v>
      </c>
      <c r="AF40" s="66"/>
      <c r="AG40" s="9" t="str">
        <f t="shared" ca="1" si="66"/>
        <v>EXPIRED</v>
      </c>
      <c r="AH40" s="9" t="str">
        <f t="shared" ca="1" si="67"/>
        <v>--</v>
      </c>
      <c r="AI40" s="9" t="str">
        <f t="shared" ca="1" si="68"/>
        <v>EXPIRED</v>
      </c>
      <c r="AJ40" s="9" t="str">
        <f t="shared" ca="1" si="69"/>
        <v>--</v>
      </c>
      <c r="AK40" s="9" t="str">
        <f t="shared" ca="1" si="70"/>
        <v>EXPIRED</v>
      </c>
      <c r="AL40" s="9" t="str">
        <f t="shared" ca="1" si="71"/>
        <v>--</v>
      </c>
      <c r="AM40" s="9" t="str">
        <f t="shared" ca="1" si="10"/>
        <v>EXPIRED</v>
      </c>
      <c r="AN40" s="66"/>
      <c r="AO40" s="9" t="str">
        <f t="shared" ca="1" si="72"/>
        <v>EXPIRED</v>
      </c>
      <c r="AP40" s="9" t="str">
        <f t="shared" ca="1" si="73"/>
        <v>--</v>
      </c>
      <c r="AQ40" s="9" t="str">
        <f t="shared" ca="1" si="74"/>
        <v>EXPIRED</v>
      </c>
      <c r="AR40" s="9" t="str">
        <f t="shared" ca="1" si="75"/>
        <v>--</v>
      </c>
      <c r="AS40" s="9" t="str">
        <f t="shared" ca="1" si="76"/>
        <v>EXPIRED</v>
      </c>
      <c r="AT40" s="9" t="str">
        <f t="shared" ca="1" si="77"/>
        <v>--</v>
      </c>
      <c r="AU40" s="9" t="str">
        <f t="shared" ca="1" si="11"/>
        <v>EXPIRED</v>
      </c>
      <c r="AV40" s="66"/>
      <c r="AW40" s="9" t="str">
        <f t="shared" ca="1" si="78"/>
        <v>EXPIRED</v>
      </c>
      <c r="AX40" s="9" t="str">
        <f t="shared" ca="1" si="79"/>
        <v>--</v>
      </c>
      <c r="AY40" s="9" t="str">
        <f t="shared" ca="1" si="80"/>
        <v>EXPIRED</v>
      </c>
      <c r="AZ40" s="9" t="str">
        <f t="shared" ca="1" si="81"/>
        <v>--</v>
      </c>
      <c r="BA40" s="9" t="str">
        <f t="shared" ca="1" si="82"/>
        <v>EXPIRED</v>
      </c>
      <c r="BB40" s="9" t="str">
        <f t="shared" ca="1" si="83"/>
        <v>--</v>
      </c>
      <c r="BC40" s="9" t="str">
        <f t="shared" ca="1" si="12"/>
        <v>EXPIRED</v>
      </c>
      <c r="BD40" s="66"/>
    </row>
    <row r="41" spans="1:56" ht="14.45" x14ac:dyDescent="0.3">
      <c r="A41" s="14">
        <f t="shared" si="86"/>
        <v>30</v>
      </c>
      <c r="B41" s="14">
        <f t="shared" si="86"/>
        <v>70</v>
      </c>
      <c r="C41" s="38">
        <f t="shared" si="4"/>
        <v>1.8113615841033535</v>
      </c>
      <c r="D41" s="66"/>
      <c r="E41" s="32" t="str">
        <f t="shared" ca="1" si="50"/>
        <v>EXPIRED</v>
      </c>
      <c r="F41" s="32" t="str">
        <f t="shared" ca="1" si="51"/>
        <v>--</v>
      </c>
      <c r="G41" s="32" t="str">
        <f t="shared" ca="1" si="52"/>
        <v>EXPIRED</v>
      </c>
      <c r="H41" s="32" t="str">
        <f ca="1">IF(Message&lt;&gt;"","--",I41*(1-IF(OR(Income!P40="NA",Income!P40=0),0.2,Income!P40)))</f>
        <v>--</v>
      </c>
      <c r="I41" s="32" t="str">
        <f t="shared" ca="1" si="53"/>
        <v>EXPIRED</v>
      </c>
      <c r="J41" s="66"/>
      <c r="K41" s="74" t="str">
        <f ca="1">IF(Message&lt;&gt;"",Message,Income!M40+Dashboard!I93+Dashboard!K93-Taxes!BR46)</f>
        <v>EXPIRED</v>
      </c>
      <c r="L41" s="74" t="str">
        <f t="shared" ca="1" si="54"/>
        <v>EXPIRED</v>
      </c>
      <c r="M41" s="5" t="str">
        <f t="shared" ca="1" si="55"/>
        <v>EXPIRED</v>
      </c>
      <c r="N41" s="5" t="str">
        <f ca="1">IF(Message&lt;&gt;"",Message,MAX(MIN(Target401K*C41,SUM(Income!D40:J40),W41+K41),-I40)+IF(W41+K41&lt;0,-M41,0))</f>
        <v>EXPIRED</v>
      </c>
      <c r="O41" s="66"/>
      <c r="P41" s="71" t="str">
        <f t="shared" ca="1" si="56"/>
        <v>EXPIRED</v>
      </c>
      <c r="Q41" s="71" t="str">
        <f t="shared" ca="1" si="57"/>
        <v>EXPIRED</v>
      </c>
      <c r="R41" s="66"/>
      <c r="S41" s="9" t="str">
        <f t="shared" ca="1" si="58"/>
        <v>EXPIRED</v>
      </c>
      <c r="T41" s="9" t="str">
        <f t="shared" ca="1" si="84"/>
        <v>EXPIRED</v>
      </c>
      <c r="U41" s="9">
        <f ca="1">+Taxes!L46</f>
        <v>0</v>
      </c>
      <c r="V41" s="9" t="str">
        <f t="shared" ca="1" si="59"/>
        <v>EXPIRED</v>
      </c>
      <c r="W41" s="9" t="e">
        <f t="shared" ca="1" si="85"/>
        <v>#VALUE!</v>
      </c>
      <c r="X41" s="66"/>
      <c r="Y41" s="9" t="str">
        <f t="shared" ca="1" si="60"/>
        <v>EXPIRED</v>
      </c>
      <c r="Z41" s="9" t="str">
        <f t="shared" ca="1" si="61"/>
        <v>--</v>
      </c>
      <c r="AA41" s="9" t="str">
        <f t="shared" ca="1" si="62"/>
        <v>EXPIRED</v>
      </c>
      <c r="AB41" s="9" t="str">
        <f t="shared" ca="1" si="63"/>
        <v>--</v>
      </c>
      <c r="AC41" s="9" t="str">
        <f t="shared" ca="1" si="64"/>
        <v>EXPIRED</v>
      </c>
      <c r="AD41" s="9" t="str">
        <f t="shared" ca="1" si="65"/>
        <v>--</v>
      </c>
      <c r="AE41" s="9" t="str">
        <f t="shared" ca="1" si="9"/>
        <v>EXPIRED</v>
      </c>
      <c r="AF41" s="66"/>
      <c r="AG41" s="9" t="str">
        <f t="shared" ca="1" si="66"/>
        <v>EXPIRED</v>
      </c>
      <c r="AH41" s="9" t="str">
        <f t="shared" ca="1" si="67"/>
        <v>--</v>
      </c>
      <c r="AI41" s="9" t="str">
        <f t="shared" ca="1" si="68"/>
        <v>EXPIRED</v>
      </c>
      <c r="AJ41" s="9" t="str">
        <f t="shared" ca="1" si="69"/>
        <v>--</v>
      </c>
      <c r="AK41" s="9" t="str">
        <f t="shared" ca="1" si="70"/>
        <v>EXPIRED</v>
      </c>
      <c r="AL41" s="9" t="str">
        <f t="shared" ca="1" si="71"/>
        <v>--</v>
      </c>
      <c r="AM41" s="9" t="str">
        <f t="shared" ca="1" si="10"/>
        <v>EXPIRED</v>
      </c>
      <c r="AN41" s="66"/>
      <c r="AO41" s="9" t="str">
        <f t="shared" ca="1" si="72"/>
        <v>EXPIRED</v>
      </c>
      <c r="AP41" s="9" t="str">
        <f t="shared" ca="1" si="73"/>
        <v>--</v>
      </c>
      <c r="AQ41" s="9" t="str">
        <f t="shared" ca="1" si="74"/>
        <v>EXPIRED</v>
      </c>
      <c r="AR41" s="9" t="str">
        <f t="shared" ca="1" si="75"/>
        <v>--</v>
      </c>
      <c r="AS41" s="9" t="str">
        <f t="shared" ca="1" si="76"/>
        <v>EXPIRED</v>
      </c>
      <c r="AT41" s="9" t="str">
        <f t="shared" ca="1" si="77"/>
        <v>--</v>
      </c>
      <c r="AU41" s="9" t="str">
        <f t="shared" ca="1" si="11"/>
        <v>EXPIRED</v>
      </c>
      <c r="AV41" s="66"/>
      <c r="AW41" s="9" t="str">
        <f t="shared" ca="1" si="78"/>
        <v>EXPIRED</v>
      </c>
      <c r="AX41" s="9" t="str">
        <f t="shared" ca="1" si="79"/>
        <v>--</v>
      </c>
      <c r="AY41" s="9" t="str">
        <f t="shared" ca="1" si="80"/>
        <v>EXPIRED</v>
      </c>
      <c r="AZ41" s="9" t="str">
        <f t="shared" ca="1" si="81"/>
        <v>--</v>
      </c>
      <c r="BA41" s="9" t="str">
        <f t="shared" ca="1" si="82"/>
        <v>EXPIRED</v>
      </c>
      <c r="BB41" s="9" t="str">
        <f t="shared" ca="1" si="83"/>
        <v>--</v>
      </c>
      <c r="BC41" s="9" t="str">
        <f t="shared" ca="1" si="12"/>
        <v>EXPIRED</v>
      </c>
      <c r="BD41" s="66"/>
    </row>
    <row r="42" spans="1:56" ht="14.45" x14ac:dyDescent="0.3">
      <c r="A42" s="14">
        <f t="shared" si="86"/>
        <v>31</v>
      </c>
      <c r="B42" s="14">
        <f t="shared" si="86"/>
        <v>71</v>
      </c>
      <c r="C42" s="38">
        <f t="shared" si="4"/>
        <v>1.8475888157854201</v>
      </c>
      <c r="D42" s="66"/>
      <c r="E42" s="32" t="str">
        <f t="shared" ca="1" si="50"/>
        <v>EXPIRED</v>
      </c>
      <c r="F42" s="32" t="str">
        <f t="shared" ca="1" si="51"/>
        <v>--</v>
      </c>
      <c r="G42" s="32" t="str">
        <f t="shared" ca="1" si="52"/>
        <v>EXPIRED</v>
      </c>
      <c r="H42" s="32" t="str">
        <f ca="1">IF(Message&lt;&gt;"","--",I42*(1-IF(OR(Income!P41="NA",Income!P41=0),0.2,Income!P41)))</f>
        <v>--</v>
      </c>
      <c r="I42" s="32" t="str">
        <f t="shared" ca="1" si="53"/>
        <v>EXPIRED</v>
      </c>
      <c r="J42" s="66"/>
      <c r="K42" s="74" t="str">
        <f ca="1">IF(Message&lt;&gt;"",Message,Income!M41+Dashboard!I94+Dashboard!K94-Taxes!BR47)</f>
        <v>EXPIRED</v>
      </c>
      <c r="L42" s="74" t="str">
        <f t="shared" ca="1" si="54"/>
        <v>EXPIRED</v>
      </c>
      <c r="M42" s="5" t="str">
        <f t="shared" ca="1" si="55"/>
        <v>EXPIRED</v>
      </c>
      <c r="N42" s="5" t="str">
        <f ca="1">IF(Message&lt;&gt;"",Message,MAX(MIN(Target401K*C42,SUM(Income!D41:J41),W42+K42),-I41)+IF(W42+K42&lt;0,-M42,0))</f>
        <v>EXPIRED</v>
      </c>
      <c r="O42" s="66"/>
      <c r="P42" s="71" t="str">
        <f t="shared" ca="1" si="56"/>
        <v>EXPIRED</v>
      </c>
      <c r="Q42" s="71" t="str">
        <f t="shared" ca="1" si="57"/>
        <v>EXPIRED</v>
      </c>
      <c r="R42" s="66"/>
      <c r="S42" s="9" t="str">
        <f t="shared" ca="1" si="58"/>
        <v>EXPIRED</v>
      </c>
      <c r="T42" s="9" t="str">
        <f t="shared" ca="1" si="84"/>
        <v>EXPIRED</v>
      </c>
      <c r="U42" s="9">
        <f ca="1">+Taxes!L47</f>
        <v>0</v>
      </c>
      <c r="V42" s="9" t="str">
        <f t="shared" ca="1" si="59"/>
        <v>EXPIRED</v>
      </c>
      <c r="W42" s="9" t="e">
        <f t="shared" ca="1" si="85"/>
        <v>#VALUE!</v>
      </c>
      <c r="X42" s="66"/>
      <c r="Y42" s="9" t="str">
        <f t="shared" ca="1" si="60"/>
        <v>EXPIRED</v>
      </c>
      <c r="Z42" s="9" t="str">
        <f t="shared" ca="1" si="61"/>
        <v>--</v>
      </c>
      <c r="AA42" s="9" t="str">
        <f t="shared" ca="1" si="62"/>
        <v>EXPIRED</v>
      </c>
      <c r="AB42" s="9" t="str">
        <f t="shared" ca="1" si="63"/>
        <v>--</v>
      </c>
      <c r="AC42" s="9" t="str">
        <f t="shared" ca="1" si="64"/>
        <v>EXPIRED</v>
      </c>
      <c r="AD42" s="9" t="str">
        <f t="shared" ca="1" si="65"/>
        <v>--</v>
      </c>
      <c r="AE42" s="9" t="str">
        <f t="shared" ca="1" si="9"/>
        <v>EXPIRED</v>
      </c>
      <c r="AF42" s="66"/>
      <c r="AG42" s="9" t="str">
        <f t="shared" ca="1" si="66"/>
        <v>EXPIRED</v>
      </c>
      <c r="AH42" s="9" t="str">
        <f t="shared" ca="1" si="67"/>
        <v>--</v>
      </c>
      <c r="AI42" s="9" t="str">
        <f t="shared" ca="1" si="68"/>
        <v>EXPIRED</v>
      </c>
      <c r="AJ42" s="9" t="str">
        <f t="shared" ca="1" si="69"/>
        <v>--</v>
      </c>
      <c r="AK42" s="9" t="str">
        <f t="shared" ca="1" si="70"/>
        <v>EXPIRED</v>
      </c>
      <c r="AL42" s="9" t="str">
        <f t="shared" ca="1" si="71"/>
        <v>--</v>
      </c>
      <c r="AM42" s="9" t="str">
        <f t="shared" ca="1" si="10"/>
        <v>EXPIRED</v>
      </c>
      <c r="AN42" s="66"/>
      <c r="AO42" s="9" t="str">
        <f t="shared" ca="1" si="72"/>
        <v>EXPIRED</v>
      </c>
      <c r="AP42" s="9" t="str">
        <f t="shared" ca="1" si="73"/>
        <v>--</v>
      </c>
      <c r="AQ42" s="9" t="str">
        <f t="shared" ca="1" si="74"/>
        <v>EXPIRED</v>
      </c>
      <c r="AR42" s="9" t="str">
        <f t="shared" ca="1" si="75"/>
        <v>--</v>
      </c>
      <c r="AS42" s="9" t="str">
        <f t="shared" ca="1" si="76"/>
        <v>EXPIRED</v>
      </c>
      <c r="AT42" s="9" t="str">
        <f t="shared" ca="1" si="77"/>
        <v>--</v>
      </c>
      <c r="AU42" s="9" t="str">
        <f t="shared" ca="1" si="11"/>
        <v>EXPIRED</v>
      </c>
      <c r="AV42" s="66"/>
      <c r="AW42" s="9" t="str">
        <f t="shared" ca="1" si="78"/>
        <v>EXPIRED</v>
      </c>
      <c r="AX42" s="9" t="str">
        <f t="shared" ca="1" si="79"/>
        <v>--</v>
      </c>
      <c r="AY42" s="9" t="str">
        <f t="shared" ca="1" si="80"/>
        <v>EXPIRED</v>
      </c>
      <c r="AZ42" s="9" t="str">
        <f t="shared" ca="1" si="81"/>
        <v>--</v>
      </c>
      <c r="BA42" s="9" t="str">
        <f t="shared" ca="1" si="82"/>
        <v>EXPIRED</v>
      </c>
      <c r="BB42" s="9" t="str">
        <f t="shared" ca="1" si="83"/>
        <v>--</v>
      </c>
      <c r="BC42" s="9" t="str">
        <f t="shared" ca="1" si="12"/>
        <v>EXPIRED</v>
      </c>
      <c r="BD42" s="66"/>
    </row>
    <row r="43" spans="1:56" ht="14.45" x14ac:dyDescent="0.3">
      <c r="A43" s="14">
        <f t="shared" si="86"/>
        <v>32</v>
      </c>
      <c r="B43" s="14">
        <f t="shared" si="86"/>
        <v>72</v>
      </c>
      <c r="C43" s="38">
        <f t="shared" si="4"/>
        <v>1.8845405921011289</v>
      </c>
      <c r="D43" s="66"/>
      <c r="E43" s="32" t="str">
        <f t="shared" ca="1" si="50"/>
        <v>EXPIRED</v>
      </c>
      <c r="F43" s="32" t="str">
        <f t="shared" ca="1" si="51"/>
        <v>--</v>
      </c>
      <c r="G43" s="32" t="str">
        <f t="shared" ca="1" si="52"/>
        <v>EXPIRED</v>
      </c>
      <c r="H43" s="32" t="str">
        <f ca="1">IF(Message&lt;&gt;"","--",I43*(1-IF(OR(Income!P42="NA",Income!P42=0),0.2,Income!P42)))</f>
        <v>--</v>
      </c>
      <c r="I43" s="32" t="str">
        <f t="shared" ca="1" si="53"/>
        <v>EXPIRED</v>
      </c>
      <c r="J43" s="66"/>
      <c r="K43" s="74" t="str">
        <f ca="1">IF(Message&lt;&gt;"",Message,Income!M42+Dashboard!I95+Dashboard!K95-Taxes!BR48)</f>
        <v>EXPIRED</v>
      </c>
      <c r="L43" s="74" t="str">
        <f t="shared" ca="1" si="54"/>
        <v>EXPIRED</v>
      </c>
      <c r="M43" s="5" t="str">
        <f t="shared" ca="1" si="55"/>
        <v>EXPIRED</v>
      </c>
      <c r="N43" s="5" t="str">
        <f ca="1">IF(Message&lt;&gt;"",Message,MAX(MIN(Target401K*C43,SUM(Income!D42:J42),W43+K43),-I42)+IF(W43+K43&lt;0,-M43,0))</f>
        <v>EXPIRED</v>
      </c>
      <c r="O43" s="66"/>
      <c r="P43" s="71" t="str">
        <f t="shared" ca="1" si="56"/>
        <v>EXPIRED</v>
      </c>
      <c r="Q43" s="71" t="str">
        <f t="shared" ca="1" si="57"/>
        <v>EXPIRED</v>
      </c>
      <c r="R43" s="66"/>
      <c r="S43" s="9" t="str">
        <f t="shared" ca="1" si="58"/>
        <v>EXPIRED</v>
      </c>
      <c r="T43" s="9" t="str">
        <f t="shared" ca="1" si="84"/>
        <v>EXPIRED</v>
      </c>
      <c r="U43" s="9">
        <f ca="1">+Taxes!L48</f>
        <v>0</v>
      </c>
      <c r="V43" s="9" t="str">
        <f t="shared" ca="1" si="59"/>
        <v>EXPIRED</v>
      </c>
      <c r="W43" s="9" t="e">
        <f t="shared" ca="1" si="85"/>
        <v>#VALUE!</v>
      </c>
      <c r="X43" s="66"/>
      <c r="Y43" s="9" t="str">
        <f t="shared" ca="1" si="60"/>
        <v>EXPIRED</v>
      </c>
      <c r="Z43" s="9" t="str">
        <f t="shared" ca="1" si="61"/>
        <v>--</v>
      </c>
      <c r="AA43" s="9" t="str">
        <f t="shared" ca="1" si="62"/>
        <v>EXPIRED</v>
      </c>
      <c r="AB43" s="9" t="str">
        <f t="shared" ca="1" si="63"/>
        <v>--</v>
      </c>
      <c r="AC43" s="9" t="str">
        <f t="shared" ca="1" si="64"/>
        <v>EXPIRED</v>
      </c>
      <c r="AD43" s="9" t="str">
        <f t="shared" ca="1" si="65"/>
        <v>--</v>
      </c>
      <c r="AE43" s="9" t="str">
        <f t="shared" ca="1" si="9"/>
        <v>EXPIRED</v>
      </c>
      <c r="AF43" s="66"/>
      <c r="AG43" s="9" t="str">
        <f t="shared" ca="1" si="66"/>
        <v>EXPIRED</v>
      </c>
      <c r="AH43" s="9" t="str">
        <f t="shared" ca="1" si="67"/>
        <v>--</v>
      </c>
      <c r="AI43" s="9" t="str">
        <f t="shared" ca="1" si="68"/>
        <v>EXPIRED</v>
      </c>
      <c r="AJ43" s="9" t="str">
        <f t="shared" ca="1" si="69"/>
        <v>--</v>
      </c>
      <c r="AK43" s="9" t="str">
        <f t="shared" ca="1" si="70"/>
        <v>EXPIRED</v>
      </c>
      <c r="AL43" s="9" t="str">
        <f t="shared" ca="1" si="71"/>
        <v>--</v>
      </c>
      <c r="AM43" s="9" t="str">
        <f t="shared" ca="1" si="10"/>
        <v>EXPIRED</v>
      </c>
      <c r="AN43" s="66"/>
      <c r="AO43" s="9" t="str">
        <f t="shared" ca="1" si="72"/>
        <v>EXPIRED</v>
      </c>
      <c r="AP43" s="9" t="str">
        <f t="shared" ca="1" si="73"/>
        <v>--</v>
      </c>
      <c r="AQ43" s="9" t="str">
        <f t="shared" ca="1" si="74"/>
        <v>EXPIRED</v>
      </c>
      <c r="AR43" s="9" t="str">
        <f t="shared" ca="1" si="75"/>
        <v>--</v>
      </c>
      <c r="AS43" s="9" t="str">
        <f t="shared" ca="1" si="76"/>
        <v>EXPIRED</v>
      </c>
      <c r="AT43" s="9" t="str">
        <f t="shared" ca="1" si="77"/>
        <v>--</v>
      </c>
      <c r="AU43" s="9" t="str">
        <f t="shared" ca="1" si="11"/>
        <v>EXPIRED</v>
      </c>
      <c r="AV43" s="66"/>
      <c r="AW43" s="9" t="str">
        <f t="shared" ca="1" si="78"/>
        <v>EXPIRED</v>
      </c>
      <c r="AX43" s="9" t="str">
        <f t="shared" ca="1" si="79"/>
        <v>--</v>
      </c>
      <c r="AY43" s="9" t="str">
        <f t="shared" ca="1" si="80"/>
        <v>EXPIRED</v>
      </c>
      <c r="AZ43" s="9" t="str">
        <f t="shared" ca="1" si="81"/>
        <v>--</v>
      </c>
      <c r="BA43" s="9" t="str">
        <f t="shared" ca="1" si="82"/>
        <v>EXPIRED</v>
      </c>
      <c r="BB43" s="9" t="str">
        <f t="shared" ca="1" si="83"/>
        <v>--</v>
      </c>
      <c r="BC43" s="9" t="str">
        <f t="shared" ca="1" si="12"/>
        <v>EXPIRED</v>
      </c>
      <c r="BD43" s="66"/>
    </row>
    <row r="44" spans="1:56" ht="14.45" x14ac:dyDescent="0.3">
      <c r="A44" s="14">
        <f t="shared" si="86"/>
        <v>33</v>
      </c>
      <c r="B44" s="14">
        <f t="shared" si="86"/>
        <v>73</v>
      </c>
      <c r="C44" s="38">
        <f t="shared" si="4"/>
        <v>1.9222314039431516</v>
      </c>
      <c r="D44" s="66"/>
      <c r="E44" s="32" t="str">
        <f t="shared" ca="1" si="50"/>
        <v>EXPIRED</v>
      </c>
      <c r="F44" s="32" t="str">
        <f t="shared" ca="1" si="51"/>
        <v>--</v>
      </c>
      <c r="G44" s="32" t="str">
        <f t="shared" ca="1" si="52"/>
        <v>EXPIRED</v>
      </c>
      <c r="H44" s="32" t="str">
        <f ca="1">IF(Message&lt;&gt;"","--",I44*(1-IF(OR(Income!P43="NA",Income!P43=0),0.2,Income!P43)))</f>
        <v>--</v>
      </c>
      <c r="I44" s="32" t="str">
        <f t="shared" ca="1" si="53"/>
        <v>EXPIRED</v>
      </c>
      <c r="J44" s="66"/>
      <c r="K44" s="74" t="str">
        <f ca="1">IF(Message&lt;&gt;"",Message,Income!M43+Dashboard!I96+Dashboard!K96-Taxes!BR49)</f>
        <v>EXPIRED</v>
      </c>
      <c r="L44" s="74" t="str">
        <f t="shared" ca="1" si="54"/>
        <v>EXPIRED</v>
      </c>
      <c r="M44" s="5" t="str">
        <f t="shared" ca="1" si="55"/>
        <v>EXPIRED</v>
      </c>
      <c r="N44" s="5" t="str">
        <f ca="1">IF(Message&lt;&gt;"",Message,MAX(MIN(Target401K*C44,SUM(Income!D43:J43),W44+K44),-I43)+IF(W44+K44&lt;0,-M44,0))</f>
        <v>EXPIRED</v>
      </c>
      <c r="O44" s="66"/>
      <c r="P44" s="71" t="str">
        <f t="shared" ca="1" si="56"/>
        <v>EXPIRED</v>
      </c>
      <c r="Q44" s="71" t="str">
        <f t="shared" ca="1" si="57"/>
        <v>EXPIRED</v>
      </c>
      <c r="R44" s="66"/>
      <c r="S44" s="9" t="str">
        <f t="shared" ca="1" si="58"/>
        <v>EXPIRED</v>
      </c>
      <c r="T44" s="9" t="str">
        <f t="shared" ca="1" si="84"/>
        <v>EXPIRED</v>
      </c>
      <c r="U44" s="9">
        <f ca="1">+Taxes!L49</f>
        <v>0</v>
      </c>
      <c r="V44" s="9" t="str">
        <f t="shared" ca="1" si="59"/>
        <v>EXPIRED</v>
      </c>
      <c r="W44" s="9" t="e">
        <f t="shared" ca="1" si="85"/>
        <v>#VALUE!</v>
      </c>
      <c r="X44" s="66"/>
      <c r="Y44" s="9" t="str">
        <f t="shared" ca="1" si="60"/>
        <v>EXPIRED</v>
      </c>
      <c r="Z44" s="9" t="str">
        <f t="shared" ca="1" si="61"/>
        <v>--</v>
      </c>
      <c r="AA44" s="9" t="str">
        <f t="shared" ca="1" si="62"/>
        <v>EXPIRED</v>
      </c>
      <c r="AB44" s="9" t="str">
        <f t="shared" ca="1" si="63"/>
        <v>--</v>
      </c>
      <c r="AC44" s="9" t="str">
        <f t="shared" ca="1" si="64"/>
        <v>EXPIRED</v>
      </c>
      <c r="AD44" s="9" t="str">
        <f t="shared" ca="1" si="65"/>
        <v>--</v>
      </c>
      <c r="AE44" s="9" t="str">
        <f t="shared" ref="AE44:AE75" ca="1" si="87">IF(Message&lt;&gt;"",Message,IF(AA44*AD44=0,0,+IF(AB44&lt;0,-AB44/AA44*AD44,0)))</f>
        <v>EXPIRED</v>
      </c>
      <c r="AF44" s="66"/>
      <c r="AG44" s="9" t="str">
        <f t="shared" ca="1" si="66"/>
        <v>EXPIRED</v>
      </c>
      <c r="AH44" s="9" t="str">
        <f t="shared" ca="1" si="67"/>
        <v>--</v>
      </c>
      <c r="AI44" s="9" t="str">
        <f t="shared" ca="1" si="68"/>
        <v>EXPIRED</v>
      </c>
      <c r="AJ44" s="9" t="str">
        <f t="shared" ca="1" si="69"/>
        <v>--</v>
      </c>
      <c r="AK44" s="9" t="str">
        <f t="shared" ca="1" si="70"/>
        <v>EXPIRED</v>
      </c>
      <c r="AL44" s="9" t="str">
        <f t="shared" ca="1" si="71"/>
        <v>--</v>
      </c>
      <c r="AM44" s="9" t="str">
        <f t="shared" ref="AM44:AM75" ca="1" si="88">IF(Message&lt;&gt;"",Message,IF(AI44*AL44=0,0,+IF(AJ44&lt;0,-AJ44/AI44*AL44,0)))</f>
        <v>EXPIRED</v>
      </c>
      <c r="AN44" s="66"/>
      <c r="AO44" s="9" t="str">
        <f t="shared" ca="1" si="72"/>
        <v>EXPIRED</v>
      </c>
      <c r="AP44" s="9" t="str">
        <f t="shared" ca="1" si="73"/>
        <v>--</v>
      </c>
      <c r="AQ44" s="9" t="str">
        <f t="shared" ca="1" si="74"/>
        <v>EXPIRED</v>
      </c>
      <c r="AR44" s="9" t="str">
        <f t="shared" ca="1" si="75"/>
        <v>--</v>
      </c>
      <c r="AS44" s="9" t="str">
        <f t="shared" ca="1" si="76"/>
        <v>EXPIRED</v>
      </c>
      <c r="AT44" s="9" t="str">
        <f t="shared" ca="1" si="77"/>
        <v>--</v>
      </c>
      <c r="AU44" s="9" t="str">
        <f t="shared" ref="AU44:AU75" ca="1" si="89">IF(Message&lt;&gt;"",Message,IF(AQ44*AT44=0,0,+IF(AR44&lt;0,-AR44/AQ44*AT44,0)))</f>
        <v>EXPIRED</v>
      </c>
      <c r="AV44" s="66"/>
      <c r="AW44" s="9" t="str">
        <f t="shared" ca="1" si="78"/>
        <v>EXPIRED</v>
      </c>
      <c r="AX44" s="9" t="str">
        <f t="shared" ca="1" si="79"/>
        <v>--</v>
      </c>
      <c r="AY44" s="9" t="str">
        <f t="shared" ca="1" si="80"/>
        <v>EXPIRED</v>
      </c>
      <c r="AZ44" s="9" t="str">
        <f t="shared" ca="1" si="81"/>
        <v>--</v>
      </c>
      <c r="BA44" s="9" t="str">
        <f t="shared" ca="1" si="82"/>
        <v>EXPIRED</v>
      </c>
      <c r="BB44" s="9" t="str">
        <f t="shared" ca="1" si="83"/>
        <v>--</v>
      </c>
      <c r="BC44" s="9" t="str">
        <f t="shared" ref="BC44:BC75" ca="1" si="90">IF(Message&lt;&gt;"",Message,IF(AY44*BB44=0,0,+IF(AZ44&lt;0,-AZ44/AY44*BB44,0)))</f>
        <v>EXPIRED</v>
      </c>
      <c r="BD44" s="66"/>
    </row>
    <row r="45" spans="1:56" ht="14.45" x14ac:dyDescent="0.3">
      <c r="A45" s="14">
        <f t="shared" ref="A45:B60" si="91">+A44+1</f>
        <v>34</v>
      </c>
      <c r="B45" s="14">
        <f t="shared" si="91"/>
        <v>74</v>
      </c>
      <c r="C45" s="38">
        <f t="shared" si="4"/>
        <v>1.9606760320220145</v>
      </c>
      <c r="D45" s="66"/>
      <c r="E45" s="32" t="str">
        <f t="shared" ca="1" si="50"/>
        <v>EXPIRED</v>
      </c>
      <c r="F45" s="32" t="str">
        <f t="shared" ca="1" si="51"/>
        <v>--</v>
      </c>
      <c r="G45" s="32" t="str">
        <f t="shared" ca="1" si="52"/>
        <v>EXPIRED</v>
      </c>
      <c r="H45" s="32" t="str">
        <f ca="1">IF(Message&lt;&gt;"","--",I45*(1-IF(OR(Income!P44="NA",Income!P44=0),0.2,Income!P44)))</f>
        <v>--</v>
      </c>
      <c r="I45" s="32" t="str">
        <f t="shared" ca="1" si="53"/>
        <v>EXPIRED</v>
      </c>
      <c r="J45" s="66"/>
      <c r="K45" s="74" t="str">
        <f ca="1">IF(Message&lt;&gt;"",Message,Income!M44+Dashboard!I97+Dashboard!K97-Taxes!BR50)</f>
        <v>EXPIRED</v>
      </c>
      <c r="L45" s="74" t="str">
        <f t="shared" ca="1" si="54"/>
        <v>EXPIRED</v>
      </c>
      <c r="M45" s="5" t="str">
        <f t="shared" ca="1" si="55"/>
        <v>EXPIRED</v>
      </c>
      <c r="N45" s="5" t="str">
        <f ca="1">IF(Message&lt;&gt;"",Message,MAX(MIN(Target401K*C45,SUM(Income!D44:J44),W45+K45),-I44)+IF(W45+K45&lt;0,-M45,0))</f>
        <v>EXPIRED</v>
      </c>
      <c r="O45" s="66"/>
      <c r="P45" s="71" t="str">
        <f t="shared" ca="1" si="56"/>
        <v>EXPIRED</v>
      </c>
      <c r="Q45" s="71" t="str">
        <f t="shared" ca="1" si="57"/>
        <v>EXPIRED</v>
      </c>
      <c r="R45" s="66"/>
      <c r="S45" s="9" t="str">
        <f t="shared" ca="1" si="58"/>
        <v>EXPIRED</v>
      </c>
      <c r="T45" s="9" t="str">
        <f t="shared" ca="1" si="84"/>
        <v>EXPIRED</v>
      </c>
      <c r="U45" s="9">
        <f ca="1">+Taxes!L50</f>
        <v>0</v>
      </c>
      <c r="V45" s="9" t="str">
        <f t="shared" ca="1" si="59"/>
        <v>EXPIRED</v>
      </c>
      <c r="W45" s="9" t="e">
        <f t="shared" ca="1" si="85"/>
        <v>#VALUE!</v>
      </c>
      <c r="X45" s="66"/>
      <c r="Y45" s="9" t="str">
        <f t="shared" ca="1" si="60"/>
        <v>EXPIRED</v>
      </c>
      <c r="Z45" s="9" t="str">
        <f t="shared" ca="1" si="61"/>
        <v>--</v>
      </c>
      <c r="AA45" s="9" t="str">
        <f t="shared" ca="1" si="62"/>
        <v>EXPIRED</v>
      </c>
      <c r="AB45" s="9" t="str">
        <f t="shared" ca="1" si="63"/>
        <v>--</v>
      </c>
      <c r="AC45" s="9" t="str">
        <f t="shared" ca="1" si="64"/>
        <v>EXPIRED</v>
      </c>
      <c r="AD45" s="9" t="str">
        <f t="shared" ca="1" si="65"/>
        <v>--</v>
      </c>
      <c r="AE45" s="9" t="str">
        <f t="shared" ca="1" si="87"/>
        <v>EXPIRED</v>
      </c>
      <c r="AF45" s="66"/>
      <c r="AG45" s="9" t="str">
        <f t="shared" ca="1" si="66"/>
        <v>EXPIRED</v>
      </c>
      <c r="AH45" s="9" t="str">
        <f t="shared" ca="1" si="67"/>
        <v>--</v>
      </c>
      <c r="AI45" s="9" t="str">
        <f t="shared" ca="1" si="68"/>
        <v>EXPIRED</v>
      </c>
      <c r="AJ45" s="9" t="str">
        <f t="shared" ca="1" si="69"/>
        <v>--</v>
      </c>
      <c r="AK45" s="9" t="str">
        <f t="shared" ca="1" si="70"/>
        <v>EXPIRED</v>
      </c>
      <c r="AL45" s="9" t="str">
        <f t="shared" ca="1" si="71"/>
        <v>--</v>
      </c>
      <c r="AM45" s="9" t="str">
        <f t="shared" ca="1" si="88"/>
        <v>EXPIRED</v>
      </c>
      <c r="AN45" s="66"/>
      <c r="AO45" s="9" t="str">
        <f t="shared" ca="1" si="72"/>
        <v>EXPIRED</v>
      </c>
      <c r="AP45" s="9" t="str">
        <f t="shared" ca="1" si="73"/>
        <v>--</v>
      </c>
      <c r="AQ45" s="9" t="str">
        <f t="shared" ca="1" si="74"/>
        <v>EXPIRED</v>
      </c>
      <c r="AR45" s="9" t="str">
        <f t="shared" ca="1" si="75"/>
        <v>--</v>
      </c>
      <c r="AS45" s="9" t="str">
        <f t="shared" ca="1" si="76"/>
        <v>EXPIRED</v>
      </c>
      <c r="AT45" s="9" t="str">
        <f t="shared" ca="1" si="77"/>
        <v>--</v>
      </c>
      <c r="AU45" s="9" t="str">
        <f t="shared" ca="1" si="89"/>
        <v>EXPIRED</v>
      </c>
      <c r="AV45" s="66"/>
      <c r="AW45" s="9" t="str">
        <f t="shared" ca="1" si="78"/>
        <v>EXPIRED</v>
      </c>
      <c r="AX45" s="9" t="str">
        <f t="shared" ca="1" si="79"/>
        <v>--</v>
      </c>
      <c r="AY45" s="9" t="str">
        <f t="shared" ca="1" si="80"/>
        <v>EXPIRED</v>
      </c>
      <c r="AZ45" s="9" t="str">
        <f t="shared" ca="1" si="81"/>
        <v>--</v>
      </c>
      <c r="BA45" s="9" t="str">
        <f t="shared" ca="1" si="82"/>
        <v>EXPIRED</v>
      </c>
      <c r="BB45" s="9" t="str">
        <f t="shared" ca="1" si="83"/>
        <v>--</v>
      </c>
      <c r="BC45" s="9" t="str">
        <f t="shared" ca="1" si="90"/>
        <v>EXPIRED</v>
      </c>
      <c r="BD45" s="66"/>
    </row>
    <row r="46" spans="1:56" ht="14.45" x14ac:dyDescent="0.3">
      <c r="A46" s="14">
        <f t="shared" si="91"/>
        <v>35</v>
      </c>
      <c r="B46" s="14">
        <f t="shared" si="91"/>
        <v>75</v>
      </c>
      <c r="C46" s="38">
        <f t="shared" si="4"/>
        <v>1.9998895526624547</v>
      </c>
      <c r="D46" s="66"/>
      <c r="E46" s="32" t="str">
        <f t="shared" ca="1" si="50"/>
        <v>EXPIRED</v>
      </c>
      <c r="F46" s="32" t="str">
        <f t="shared" ca="1" si="51"/>
        <v>--</v>
      </c>
      <c r="G46" s="32" t="str">
        <f t="shared" ca="1" si="52"/>
        <v>EXPIRED</v>
      </c>
      <c r="H46" s="32" t="str">
        <f ca="1">IF(Message&lt;&gt;"","--",I46*(1-IF(OR(Income!P45="NA",Income!P45=0),0.2,Income!P45)))</f>
        <v>--</v>
      </c>
      <c r="I46" s="32" t="str">
        <f t="shared" ca="1" si="53"/>
        <v>EXPIRED</v>
      </c>
      <c r="J46" s="66"/>
      <c r="K46" s="74" t="str">
        <f ca="1">IF(Message&lt;&gt;"",Message,Income!M45+Dashboard!I98+Dashboard!K98-Taxes!BR51)</f>
        <v>EXPIRED</v>
      </c>
      <c r="L46" s="74" t="str">
        <f t="shared" ca="1" si="54"/>
        <v>EXPIRED</v>
      </c>
      <c r="M46" s="5" t="str">
        <f t="shared" ca="1" si="55"/>
        <v>EXPIRED</v>
      </c>
      <c r="N46" s="5" t="str">
        <f ca="1">IF(Message&lt;&gt;"",Message,MAX(MIN(Target401K*C46,SUM(Income!D45:J45),W46+K46),-I45)+IF(W46+K46&lt;0,-M46,0))</f>
        <v>EXPIRED</v>
      </c>
      <c r="O46" s="66"/>
      <c r="P46" s="71" t="str">
        <f t="shared" ca="1" si="56"/>
        <v>EXPIRED</v>
      </c>
      <c r="Q46" s="71" t="str">
        <f t="shared" ca="1" si="57"/>
        <v>EXPIRED</v>
      </c>
      <c r="R46" s="66"/>
      <c r="S46" s="9" t="str">
        <f t="shared" ca="1" si="58"/>
        <v>EXPIRED</v>
      </c>
      <c r="T46" s="9" t="str">
        <f t="shared" ca="1" si="84"/>
        <v>EXPIRED</v>
      </c>
      <c r="U46" s="9">
        <f ca="1">+Taxes!L51</f>
        <v>0</v>
      </c>
      <c r="V46" s="9" t="str">
        <f t="shared" ca="1" si="59"/>
        <v>EXPIRED</v>
      </c>
      <c r="W46" s="9" t="e">
        <f t="shared" ca="1" si="85"/>
        <v>#VALUE!</v>
      </c>
      <c r="X46" s="66"/>
      <c r="Y46" s="9" t="str">
        <f t="shared" ca="1" si="60"/>
        <v>EXPIRED</v>
      </c>
      <c r="Z46" s="9" t="str">
        <f t="shared" ca="1" si="61"/>
        <v>--</v>
      </c>
      <c r="AA46" s="9" t="str">
        <f t="shared" ca="1" si="62"/>
        <v>EXPIRED</v>
      </c>
      <c r="AB46" s="9" t="str">
        <f t="shared" ca="1" si="63"/>
        <v>--</v>
      </c>
      <c r="AC46" s="9" t="str">
        <f t="shared" ca="1" si="64"/>
        <v>EXPIRED</v>
      </c>
      <c r="AD46" s="9" t="str">
        <f t="shared" ca="1" si="65"/>
        <v>--</v>
      </c>
      <c r="AE46" s="9" t="str">
        <f t="shared" ca="1" si="87"/>
        <v>EXPIRED</v>
      </c>
      <c r="AF46" s="66"/>
      <c r="AG46" s="9" t="str">
        <f t="shared" ca="1" si="66"/>
        <v>EXPIRED</v>
      </c>
      <c r="AH46" s="9" t="str">
        <f t="shared" ca="1" si="67"/>
        <v>--</v>
      </c>
      <c r="AI46" s="9" t="str">
        <f t="shared" ca="1" si="68"/>
        <v>EXPIRED</v>
      </c>
      <c r="AJ46" s="9" t="str">
        <f t="shared" ca="1" si="69"/>
        <v>--</v>
      </c>
      <c r="AK46" s="9" t="str">
        <f t="shared" ca="1" si="70"/>
        <v>EXPIRED</v>
      </c>
      <c r="AL46" s="9" t="str">
        <f t="shared" ca="1" si="71"/>
        <v>--</v>
      </c>
      <c r="AM46" s="9" t="str">
        <f t="shared" ca="1" si="88"/>
        <v>EXPIRED</v>
      </c>
      <c r="AN46" s="66"/>
      <c r="AO46" s="9" t="str">
        <f t="shared" ca="1" si="72"/>
        <v>EXPIRED</v>
      </c>
      <c r="AP46" s="9" t="str">
        <f t="shared" ca="1" si="73"/>
        <v>--</v>
      </c>
      <c r="AQ46" s="9" t="str">
        <f t="shared" ca="1" si="74"/>
        <v>EXPIRED</v>
      </c>
      <c r="AR46" s="9" t="str">
        <f t="shared" ca="1" si="75"/>
        <v>--</v>
      </c>
      <c r="AS46" s="9" t="str">
        <f t="shared" ca="1" si="76"/>
        <v>EXPIRED</v>
      </c>
      <c r="AT46" s="9" t="str">
        <f t="shared" ca="1" si="77"/>
        <v>--</v>
      </c>
      <c r="AU46" s="9" t="str">
        <f t="shared" ca="1" si="89"/>
        <v>EXPIRED</v>
      </c>
      <c r="AV46" s="66"/>
      <c r="AW46" s="9" t="str">
        <f t="shared" ca="1" si="78"/>
        <v>EXPIRED</v>
      </c>
      <c r="AX46" s="9" t="str">
        <f t="shared" ca="1" si="79"/>
        <v>--</v>
      </c>
      <c r="AY46" s="9" t="str">
        <f t="shared" ca="1" si="80"/>
        <v>EXPIRED</v>
      </c>
      <c r="AZ46" s="9" t="str">
        <f t="shared" ca="1" si="81"/>
        <v>--</v>
      </c>
      <c r="BA46" s="9" t="str">
        <f t="shared" ca="1" si="82"/>
        <v>EXPIRED</v>
      </c>
      <c r="BB46" s="9" t="str">
        <f t="shared" ca="1" si="83"/>
        <v>--</v>
      </c>
      <c r="BC46" s="9" t="str">
        <f t="shared" ca="1" si="90"/>
        <v>EXPIRED</v>
      </c>
      <c r="BD46" s="66"/>
    </row>
    <row r="47" spans="1:56" ht="14.45" x14ac:dyDescent="0.3">
      <c r="A47" s="14">
        <f t="shared" si="91"/>
        <v>36</v>
      </c>
      <c r="B47" s="14">
        <f t="shared" si="91"/>
        <v>76</v>
      </c>
      <c r="C47" s="38">
        <f t="shared" si="4"/>
        <v>2.0398873437157037</v>
      </c>
      <c r="D47" s="66"/>
      <c r="E47" s="32" t="str">
        <f t="shared" ca="1" si="50"/>
        <v>EXPIRED</v>
      </c>
      <c r="F47" s="32" t="str">
        <f t="shared" ca="1" si="51"/>
        <v>--</v>
      </c>
      <c r="G47" s="32" t="str">
        <f t="shared" ca="1" si="52"/>
        <v>EXPIRED</v>
      </c>
      <c r="H47" s="32" t="str">
        <f ca="1">IF(Message&lt;&gt;"","--",I47*(1-IF(OR(Income!P46="NA",Income!P46=0),0.2,Income!P46)))</f>
        <v>--</v>
      </c>
      <c r="I47" s="32" t="str">
        <f t="shared" ca="1" si="53"/>
        <v>EXPIRED</v>
      </c>
      <c r="J47" s="66"/>
      <c r="K47" s="74" t="str">
        <f ca="1">IF(Message&lt;&gt;"",Message,Income!M46+Dashboard!I99+Dashboard!K99-Taxes!BR52)</f>
        <v>EXPIRED</v>
      </c>
      <c r="L47" s="74" t="str">
        <f t="shared" ca="1" si="54"/>
        <v>EXPIRED</v>
      </c>
      <c r="M47" s="5" t="str">
        <f t="shared" ca="1" si="55"/>
        <v>EXPIRED</v>
      </c>
      <c r="N47" s="5" t="str">
        <f ca="1">IF(Message&lt;&gt;"",Message,MAX(MIN(Target401K*C47,SUM(Income!D46:J46),W47+K47),-I46)+IF(W47+K47&lt;0,-M47,0))</f>
        <v>EXPIRED</v>
      </c>
      <c r="O47" s="66"/>
      <c r="P47" s="71" t="str">
        <f t="shared" ca="1" si="56"/>
        <v>EXPIRED</v>
      </c>
      <c r="Q47" s="71" t="str">
        <f t="shared" ca="1" si="57"/>
        <v>EXPIRED</v>
      </c>
      <c r="R47" s="66"/>
      <c r="S47" s="9" t="str">
        <f t="shared" ca="1" si="58"/>
        <v>EXPIRED</v>
      </c>
      <c r="T47" s="9" t="str">
        <f t="shared" ca="1" si="84"/>
        <v>EXPIRED</v>
      </c>
      <c r="U47" s="9">
        <f ca="1">+Taxes!L52</f>
        <v>0</v>
      </c>
      <c r="V47" s="9" t="str">
        <f t="shared" ca="1" si="59"/>
        <v>EXPIRED</v>
      </c>
      <c r="W47" s="9" t="e">
        <f t="shared" ca="1" si="85"/>
        <v>#VALUE!</v>
      </c>
      <c r="X47" s="66"/>
      <c r="Y47" s="9" t="str">
        <f t="shared" ca="1" si="60"/>
        <v>EXPIRED</v>
      </c>
      <c r="Z47" s="9" t="str">
        <f t="shared" ca="1" si="61"/>
        <v>--</v>
      </c>
      <c r="AA47" s="9" t="str">
        <f t="shared" ca="1" si="62"/>
        <v>EXPIRED</v>
      </c>
      <c r="AB47" s="9" t="str">
        <f t="shared" ca="1" si="63"/>
        <v>--</v>
      </c>
      <c r="AC47" s="9" t="str">
        <f t="shared" ca="1" si="64"/>
        <v>EXPIRED</v>
      </c>
      <c r="AD47" s="9" t="str">
        <f t="shared" ca="1" si="65"/>
        <v>--</v>
      </c>
      <c r="AE47" s="9" t="str">
        <f t="shared" ca="1" si="87"/>
        <v>EXPIRED</v>
      </c>
      <c r="AF47" s="66"/>
      <c r="AG47" s="9" t="str">
        <f t="shared" ca="1" si="66"/>
        <v>EXPIRED</v>
      </c>
      <c r="AH47" s="9" t="str">
        <f t="shared" ca="1" si="67"/>
        <v>--</v>
      </c>
      <c r="AI47" s="9" t="str">
        <f t="shared" ca="1" si="68"/>
        <v>EXPIRED</v>
      </c>
      <c r="AJ47" s="9" t="str">
        <f t="shared" ca="1" si="69"/>
        <v>--</v>
      </c>
      <c r="AK47" s="9" t="str">
        <f t="shared" ca="1" si="70"/>
        <v>EXPIRED</v>
      </c>
      <c r="AL47" s="9" t="str">
        <f t="shared" ca="1" si="71"/>
        <v>--</v>
      </c>
      <c r="AM47" s="9" t="str">
        <f t="shared" ca="1" si="88"/>
        <v>EXPIRED</v>
      </c>
      <c r="AN47" s="66"/>
      <c r="AO47" s="9" t="str">
        <f t="shared" ca="1" si="72"/>
        <v>EXPIRED</v>
      </c>
      <c r="AP47" s="9" t="str">
        <f t="shared" ca="1" si="73"/>
        <v>--</v>
      </c>
      <c r="AQ47" s="9" t="str">
        <f t="shared" ca="1" si="74"/>
        <v>EXPIRED</v>
      </c>
      <c r="AR47" s="9" t="str">
        <f t="shared" ca="1" si="75"/>
        <v>--</v>
      </c>
      <c r="AS47" s="9" t="str">
        <f t="shared" ca="1" si="76"/>
        <v>EXPIRED</v>
      </c>
      <c r="AT47" s="9" t="str">
        <f t="shared" ca="1" si="77"/>
        <v>--</v>
      </c>
      <c r="AU47" s="9" t="str">
        <f t="shared" ca="1" si="89"/>
        <v>EXPIRED</v>
      </c>
      <c r="AV47" s="66"/>
      <c r="AW47" s="9" t="str">
        <f t="shared" ca="1" si="78"/>
        <v>EXPIRED</v>
      </c>
      <c r="AX47" s="9" t="str">
        <f t="shared" ca="1" si="79"/>
        <v>--</v>
      </c>
      <c r="AY47" s="9" t="str">
        <f t="shared" ca="1" si="80"/>
        <v>EXPIRED</v>
      </c>
      <c r="AZ47" s="9" t="str">
        <f t="shared" ca="1" si="81"/>
        <v>--</v>
      </c>
      <c r="BA47" s="9" t="str">
        <f t="shared" ca="1" si="82"/>
        <v>EXPIRED</v>
      </c>
      <c r="BB47" s="9" t="str">
        <f t="shared" ca="1" si="83"/>
        <v>--</v>
      </c>
      <c r="BC47" s="9" t="str">
        <f t="shared" ca="1" si="90"/>
        <v>EXPIRED</v>
      </c>
      <c r="BD47" s="66"/>
    </row>
    <row r="48" spans="1:56" ht="14.45" x14ac:dyDescent="0.3">
      <c r="A48" s="14">
        <f t="shared" si="91"/>
        <v>37</v>
      </c>
      <c r="B48" s="14">
        <f t="shared" si="91"/>
        <v>77</v>
      </c>
      <c r="C48" s="38">
        <f t="shared" si="4"/>
        <v>2.080685090590018</v>
      </c>
      <c r="D48" s="66"/>
      <c r="E48" s="32" t="str">
        <f t="shared" ca="1" si="50"/>
        <v>EXPIRED</v>
      </c>
      <c r="F48" s="32" t="str">
        <f t="shared" ca="1" si="51"/>
        <v>--</v>
      </c>
      <c r="G48" s="32" t="str">
        <f t="shared" ca="1" si="52"/>
        <v>EXPIRED</v>
      </c>
      <c r="H48" s="32" t="str">
        <f ca="1">IF(Message&lt;&gt;"","--",I48*(1-IF(OR(Income!P47="NA",Income!P47=0),0.2,Income!P47)))</f>
        <v>--</v>
      </c>
      <c r="I48" s="32" t="str">
        <f t="shared" ca="1" si="53"/>
        <v>EXPIRED</v>
      </c>
      <c r="J48" s="66"/>
      <c r="K48" s="74" t="str">
        <f ca="1">IF(Message&lt;&gt;"",Message,Income!M47+Dashboard!I100+Dashboard!K100-Taxes!BR53)</f>
        <v>EXPIRED</v>
      </c>
      <c r="L48" s="74" t="str">
        <f t="shared" ca="1" si="54"/>
        <v>EXPIRED</v>
      </c>
      <c r="M48" s="5" t="str">
        <f t="shared" ca="1" si="55"/>
        <v>EXPIRED</v>
      </c>
      <c r="N48" s="5" t="str">
        <f ca="1">IF(Message&lt;&gt;"",Message,MAX(MIN(Target401K*C48,SUM(Income!D47:J47),W48+K48),-I47)+IF(W48+K48&lt;0,-M48,0))</f>
        <v>EXPIRED</v>
      </c>
      <c r="O48" s="66"/>
      <c r="P48" s="71" t="str">
        <f t="shared" ca="1" si="56"/>
        <v>EXPIRED</v>
      </c>
      <c r="Q48" s="71" t="str">
        <f t="shared" ca="1" si="57"/>
        <v>EXPIRED</v>
      </c>
      <c r="R48" s="66"/>
      <c r="S48" s="9" t="str">
        <f t="shared" ca="1" si="58"/>
        <v>EXPIRED</v>
      </c>
      <c r="T48" s="9" t="str">
        <f t="shared" ca="1" si="84"/>
        <v>EXPIRED</v>
      </c>
      <c r="U48" s="9">
        <f ca="1">+Taxes!L53</f>
        <v>0</v>
      </c>
      <c r="V48" s="9" t="str">
        <f t="shared" ca="1" si="59"/>
        <v>EXPIRED</v>
      </c>
      <c r="W48" s="9" t="e">
        <f t="shared" ca="1" si="85"/>
        <v>#VALUE!</v>
      </c>
      <c r="X48" s="66"/>
      <c r="Y48" s="9" t="str">
        <f t="shared" ca="1" si="60"/>
        <v>EXPIRED</v>
      </c>
      <c r="Z48" s="9" t="str">
        <f t="shared" ca="1" si="61"/>
        <v>--</v>
      </c>
      <c r="AA48" s="9" t="str">
        <f t="shared" ca="1" si="62"/>
        <v>EXPIRED</v>
      </c>
      <c r="AB48" s="9" t="str">
        <f t="shared" ca="1" si="63"/>
        <v>--</v>
      </c>
      <c r="AC48" s="9" t="str">
        <f t="shared" ca="1" si="64"/>
        <v>EXPIRED</v>
      </c>
      <c r="AD48" s="9" t="str">
        <f t="shared" ca="1" si="65"/>
        <v>--</v>
      </c>
      <c r="AE48" s="9" t="str">
        <f t="shared" ca="1" si="87"/>
        <v>EXPIRED</v>
      </c>
      <c r="AF48" s="66"/>
      <c r="AG48" s="9" t="str">
        <f t="shared" ca="1" si="66"/>
        <v>EXPIRED</v>
      </c>
      <c r="AH48" s="9" t="str">
        <f t="shared" ca="1" si="67"/>
        <v>--</v>
      </c>
      <c r="AI48" s="9" t="str">
        <f t="shared" ca="1" si="68"/>
        <v>EXPIRED</v>
      </c>
      <c r="AJ48" s="9" t="str">
        <f t="shared" ca="1" si="69"/>
        <v>--</v>
      </c>
      <c r="AK48" s="9" t="str">
        <f t="shared" ca="1" si="70"/>
        <v>EXPIRED</v>
      </c>
      <c r="AL48" s="9" t="str">
        <f t="shared" ca="1" si="71"/>
        <v>--</v>
      </c>
      <c r="AM48" s="9" t="str">
        <f t="shared" ca="1" si="88"/>
        <v>EXPIRED</v>
      </c>
      <c r="AN48" s="66"/>
      <c r="AO48" s="9" t="str">
        <f t="shared" ca="1" si="72"/>
        <v>EXPIRED</v>
      </c>
      <c r="AP48" s="9" t="str">
        <f t="shared" ca="1" si="73"/>
        <v>--</v>
      </c>
      <c r="AQ48" s="9" t="str">
        <f t="shared" ca="1" si="74"/>
        <v>EXPIRED</v>
      </c>
      <c r="AR48" s="9" t="str">
        <f t="shared" ca="1" si="75"/>
        <v>--</v>
      </c>
      <c r="AS48" s="9" t="str">
        <f t="shared" ca="1" si="76"/>
        <v>EXPIRED</v>
      </c>
      <c r="AT48" s="9" t="str">
        <f t="shared" ca="1" si="77"/>
        <v>--</v>
      </c>
      <c r="AU48" s="9" t="str">
        <f t="shared" ca="1" si="89"/>
        <v>EXPIRED</v>
      </c>
      <c r="AV48" s="66"/>
      <c r="AW48" s="9" t="str">
        <f t="shared" ca="1" si="78"/>
        <v>EXPIRED</v>
      </c>
      <c r="AX48" s="9" t="str">
        <f t="shared" ca="1" si="79"/>
        <v>--</v>
      </c>
      <c r="AY48" s="9" t="str">
        <f t="shared" ca="1" si="80"/>
        <v>EXPIRED</v>
      </c>
      <c r="AZ48" s="9" t="str">
        <f t="shared" ca="1" si="81"/>
        <v>--</v>
      </c>
      <c r="BA48" s="9" t="str">
        <f t="shared" ca="1" si="82"/>
        <v>EXPIRED</v>
      </c>
      <c r="BB48" s="9" t="str">
        <f t="shared" ca="1" si="83"/>
        <v>--</v>
      </c>
      <c r="BC48" s="9" t="str">
        <f t="shared" ca="1" si="90"/>
        <v>EXPIRED</v>
      </c>
      <c r="BD48" s="66"/>
    </row>
    <row r="49" spans="1:56" ht="14.45" x14ac:dyDescent="0.3">
      <c r="A49" s="14">
        <f t="shared" si="91"/>
        <v>38</v>
      </c>
      <c r="B49" s="14">
        <f t="shared" si="91"/>
        <v>78</v>
      </c>
      <c r="C49" s="38">
        <f t="shared" si="4"/>
        <v>2.1222987924018186</v>
      </c>
      <c r="D49" s="66"/>
      <c r="E49" s="32" t="str">
        <f t="shared" ref="E49:E80" ca="1" si="92">IF(Message&lt;&gt;"",Message,+SUM(F49:H49))</f>
        <v>EXPIRED</v>
      </c>
      <c r="F49" s="32" t="str">
        <f t="shared" ref="F49:F80" ca="1" si="93">IF(Message&lt;&gt;"","--",+V49)</f>
        <v>--</v>
      </c>
      <c r="G49" s="32" t="str">
        <f t="shared" ref="G49:G80" ca="1" si="94">IF(Message&lt;&gt;"",Message,SUMIFS(49:49,$10:$10,"Ending Balance",$7:$7,FALSE))</f>
        <v>EXPIRED</v>
      </c>
      <c r="H49" s="32" t="str">
        <f ca="1">IF(Message&lt;&gt;"","--",I49*(1-IF(OR(Income!P48="NA",Income!P48=0),0.2,Income!P48)))</f>
        <v>--</v>
      </c>
      <c r="I49" s="32" t="str">
        <f t="shared" ref="I49:I80" ca="1" si="95">IF(Message&lt;&gt;"",Message,SUMIFS(49:49,$10:$10,"Ending Balance",$7:$7,TRUE))</f>
        <v>EXPIRED</v>
      </c>
      <c r="J49" s="66"/>
      <c r="K49" s="74" t="str">
        <f ca="1">IF(Message&lt;&gt;"",Message,Income!M48+Dashboard!I101+Dashboard!K101-Taxes!BR54)</f>
        <v>EXPIRED</v>
      </c>
      <c r="L49" s="74" t="str">
        <f t="shared" ref="L49:L80" ca="1" si="96">IF(Message&lt;&gt;"",Message,+K49-SUM(M49:N49))</f>
        <v>EXPIRED</v>
      </c>
      <c r="M49" s="5" t="str">
        <f t="shared" ref="M49:M80" ca="1" si="97">IF(Message&lt;&gt;"",Message,MAX(W49+K49,-G48)-IF(W49+K49&gt;0,N49,0))</f>
        <v>EXPIRED</v>
      </c>
      <c r="N49" s="5" t="str">
        <f ca="1">IF(Message&lt;&gt;"",Message,MAX(MIN(Target401K*C49,SUM(Income!D48:J48),W49+K49),-I48)+IF(W49+K49&lt;0,-M49,0))</f>
        <v>EXPIRED</v>
      </c>
      <c r="O49" s="66"/>
      <c r="P49" s="71" t="str">
        <f t="shared" ref="P49:P80" ca="1" si="98">IF(Message&lt;&gt;"",Message,+SUMIFS(49:49,$10:$10,"Dividend",$7:$7,FALSE)+S49)</f>
        <v>EXPIRED</v>
      </c>
      <c r="Q49" s="71" t="str">
        <f t="shared" ref="Q49:Q80" ca="1" si="99">IF(Message&lt;&gt;"",Message,+SUMIFS(49:49,$10:$10,"Gains Taxed This Year",$7:$7,FALSE))</f>
        <v>EXPIRED</v>
      </c>
      <c r="R49" s="66"/>
      <c r="S49" s="9" t="str">
        <f t="shared" ref="S49:S80" ca="1" si="100">IF(Message&lt;&gt;"",Message,+IF(V48&lt;0,T$5,T$4)*V48)</f>
        <v>EXPIRED</v>
      </c>
      <c r="T49" s="9" t="str">
        <f t="shared" ca="1" si="84"/>
        <v>EXPIRED</v>
      </c>
      <c r="U49" s="9">
        <f ca="1">+Taxes!L54</f>
        <v>0</v>
      </c>
      <c r="V49" s="9" t="str">
        <f t="shared" ref="V49:V80" ca="1" si="101">IF(Message&lt;&gt;"",Message,+V48+T49-U49)</f>
        <v>EXPIRED</v>
      </c>
      <c r="W49" s="9" t="e">
        <f t="shared" ca="1" si="85"/>
        <v>#VALUE!</v>
      </c>
      <c r="X49" s="66"/>
      <c r="Y49" s="9" t="str">
        <f t="shared" ref="Y49:Y80" ca="1" si="102">IF(Message&lt;&gt;"",Message,+AC48*(Z$4-IF(Z$7,0,Z$5)))</f>
        <v>EXPIRED</v>
      </c>
      <c r="Z49" s="9" t="str">
        <f t="shared" ref="Z49:Z80" ca="1" si="103">IF(Message&lt;&gt;"","--",+AC48*IF(Z$7,0,Z$5))</f>
        <v>--</v>
      </c>
      <c r="AA49" s="9" t="str">
        <f t="shared" ref="AA49:AA80" ca="1" si="104">IF(Message&lt;&gt;"",Message,+AC48+Y49)</f>
        <v>EXPIRED</v>
      </c>
      <c r="AB49" s="9" t="str">
        <f t="shared" ref="AB49:AB80" ca="1" si="105">IF(Message&lt;&gt;"","--", (Z$6*SUMIFS(48:48,$10:$10,"Ending Balance",$7:$7,Z$7)-AA49)+Z$6*IF(Z$7,$N49,$M49))</f>
        <v>--</v>
      </c>
      <c r="AC49" s="9" t="str">
        <f t="shared" ref="AC49:AC80" ca="1" si="106">IF(Message&lt;&gt;"",Message,+AC48*(1+Z$4-IF(Z$7,0,Z$5))+AB49)</f>
        <v>EXPIRED</v>
      </c>
      <c r="AD49" s="9" t="str">
        <f t="shared" ref="AD49:AD80" ca="1" si="107">IF(Message&lt;&gt;"","--",+AD48+Y49-AE48)</f>
        <v>--</v>
      </c>
      <c r="AE49" s="9" t="str">
        <f t="shared" ca="1" si="87"/>
        <v>EXPIRED</v>
      </c>
      <c r="AF49" s="66"/>
      <c r="AG49" s="9" t="str">
        <f t="shared" ca="1" si="66"/>
        <v>EXPIRED</v>
      </c>
      <c r="AH49" s="9" t="str">
        <f t="shared" ca="1" si="67"/>
        <v>--</v>
      </c>
      <c r="AI49" s="9" t="str">
        <f t="shared" ca="1" si="68"/>
        <v>EXPIRED</v>
      </c>
      <c r="AJ49" s="9" t="str">
        <f t="shared" ca="1" si="69"/>
        <v>--</v>
      </c>
      <c r="AK49" s="9" t="str">
        <f t="shared" ca="1" si="70"/>
        <v>EXPIRED</v>
      </c>
      <c r="AL49" s="9" t="str">
        <f t="shared" ca="1" si="71"/>
        <v>--</v>
      </c>
      <c r="AM49" s="9" t="str">
        <f t="shared" ca="1" si="88"/>
        <v>EXPIRED</v>
      </c>
      <c r="AN49" s="66"/>
      <c r="AO49" s="9" t="str">
        <f t="shared" ca="1" si="72"/>
        <v>EXPIRED</v>
      </c>
      <c r="AP49" s="9" t="str">
        <f t="shared" ca="1" si="73"/>
        <v>--</v>
      </c>
      <c r="AQ49" s="9" t="str">
        <f t="shared" ca="1" si="74"/>
        <v>EXPIRED</v>
      </c>
      <c r="AR49" s="9" t="str">
        <f t="shared" ca="1" si="75"/>
        <v>--</v>
      </c>
      <c r="AS49" s="9" t="str">
        <f t="shared" ca="1" si="76"/>
        <v>EXPIRED</v>
      </c>
      <c r="AT49" s="9" t="str">
        <f t="shared" ca="1" si="77"/>
        <v>--</v>
      </c>
      <c r="AU49" s="9" t="str">
        <f t="shared" ca="1" si="89"/>
        <v>EXPIRED</v>
      </c>
      <c r="AV49" s="66"/>
      <c r="AW49" s="9" t="str">
        <f t="shared" ca="1" si="78"/>
        <v>EXPIRED</v>
      </c>
      <c r="AX49" s="9" t="str">
        <f t="shared" ca="1" si="79"/>
        <v>--</v>
      </c>
      <c r="AY49" s="9" t="str">
        <f t="shared" ca="1" si="80"/>
        <v>EXPIRED</v>
      </c>
      <c r="AZ49" s="9" t="str">
        <f t="shared" ca="1" si="81"/>
        <v>--</v>
      </c>
      <c r="BA49" s="9" t="str">
        <f t="shared" ca="1" si="82"/>
        <v>EXPIRED</v>
      </c>
      <c r="BB49" s="9" t="str">
        <f t="shared" ca="1" si="83"/>
        <v>--</v>
      </c>
      <c r="BC49" s="9" t="str">
        <f t="shared" ca="1" si="90"/>
        <v>EXPIRED</v>
      </c>
      <c r="BD49" s="66"/>
    </row>
    <row r="50" spans="1:56" ht="14.45" x14ac:dyDescent="0.3">
      <c r="A50" s="14">
        <f t="shared" si="91"/>
        <v>39</v>
      </c>
      <c r="B50" s="14">
        <f t="shared" si="91"/>
        <v>79</v>
      </c>
      <c r="C50" s="38">
        <f t="shared" si="4"/>
        <v>2.1647447682498542</v>
      </c>
      <c r="D50" s="66"/>
      <c r="E50" s="32" t="str">
        <f t="shared" ca="1" si="92"/>
        <v>EXPIRED</v>
      </c>
      <c r="F50" s="32" t="str">
        <f t="shared" ca="1" si="93"/>
        <v>--</v>
      </c>
      <c r="G50" s="32" t="str">
        <f t="shared" ca="1" si="94"/>
        <v>EXPIRED</v>
      </c>
      <c r="H50" s="32" t="str">
        <f ca="1">IF(Message&lt;&gt;"","--",I50*(1-IF(OR(Income!P49="NA",Income!P49=0),0.2,Income!P49)))</f>
        <v>--</v>
      </c>
      <c r="I50" s="32" t="str">
        <f t="shared" ca="1" si="95"/>
        <v>EXPIRED</v>
      </c>
      <c r="J50" s="66"/>
      <c r="K50" s="74" t="str">
        <f ca="1">IF(Message&lt;&gt;"",Message,Income!M49+Dashboard!I102+Dashboard!K102-Taxes!BR55)</f>
        <v>EXPIRED</v>
      </c>
      <c r="L50" s="74" t="str">
        <f t="shared" ca="1" si="96"/>
        <v>EXPIRED</v>
      </c>
      <c r="M50" s="5" t="str">
        <f t="shared" ca="1" si="97"/>
        <v>EXPIRED</v>
      </c>
      <c r="N50" s="5" t="str">
        <f ca="1">IF(Message&lt;&gt;"",Message,MAX(MIN(Target401K*C50,SUM(Income!D49:J49),W50+K50),-I49)+IF(W50+K50&lt;0,-M50,0))</f>
        <v>EXPIRED</v>
      </c>
      <c r="O50" s="66"/>
      <c r="P50" s="71" t="str">
        <f t="shared" ca="1" si="98"/>
        <v>EXPIRED</v>
      </c>
      <c r="Q50" s="71" t="str">
        <f t="shared" ca="1" si="99"/>
        <v>EXPIRED</v>
      </c>
      <c r="R50" s="66"/>
      <c r="S50" s="9" t="str">
        <f t="shared" ca="1" si="100"/>
        <v>EXPIRED</v>
      </c>
      <c r="T50" s="9" t="str">
        <f t="shared" ca="1" si="84"/>
        <v>EXPIRED</v>
      </c>
      <c r="U50" s="9">
        <f ca="1">+Taxes!L55</f>
        <v>0</v>
      </c>
      <c r="V50" s="9" t="str">
        <f t="shared" ca="1" si="101"/>
        <v>EXPIRED</v>
      </c>
      <c r="W50" s="9" t="e">
        <f t="shared" ca="1" si="85"/>
        <v>#VALUE!</v>
      </c>
      <c r="X50" s="66"/>
      <c r="Y50" s="9" t="str">
        <f t="shared" ca="1" si="102"/>
        <v>EXPIRED</v>
      </c>
      <c r="Z50" s="9" t="str">
        <f t="shared" ca="1" si="103"/>
        <v>--</v>
      </c>
      <c r="AA50" s="9" t="str">
        <f t="shared" ca="1" si="104"/>
        <v>EXPIRED</v>
      </c>
      <c r="AB50" s="9" t="str">
        <f t="shared" ca="1" si="105"/>
        <v>--</v>
      </c>
      <c r="AC50" s="9" t="str">
        <f t="shared" ca="1" si="106"/>
        <v>EXPIRED</v>
      </c>
      <c r="AD50" s="9" t="str">
        <f t="shared" ca="1" si="107"/>
        <v>--</v>
      </c>
      <c r="AE50" s="9" t="str">
        <f t="shared" ca="1" si="87"/>
        <v>EXPIRED</v>
      </c>
      <c r="AF50" s="66"/>
      <c r="AG50" s="9" t="str">
        <f t="shared" ca="1" si="66"/>
        <v>EXPIRED</v>
      </c>
      <c r="AH50" s="9" t="str">
        <f t="shared" ca="1" si="67"/>
        <v>--</v>
      </c>
      <c r="AI50" s="9" t="str">
        <f t="shared" ca="1" si="68"/>
        <v>EXPIRED</v>
      </c>
      <c r="AJ50" s="9" t="str">
        <f t="shared" ca="1" si="69"/>
        <v>--</v>
      </c>
      <c r="AK50" s="9" t="str">
        <f t="shared" ca="1" si="70"/>
        <v>EXPIRED</v>
      </c>
      <c r="AL50" s="9" t="str">
        <f t="shared" ca="1" si="71"/>
        <v>--</v>
      </c>
      <c r="AM50" s="9" t="str">
        <f t="shared" ca="1" si="88"/>
        <v>EXPIRED</v>
      </c>
      <c r="AN50" s="66"/>
      <c r="AO50" s="9" t="str">
        <f t="shared" ca="1" si="72"/>
        <v>EXPIRED</v>
      </c>
      <c r="AP50" s="9" t="str">
        <f t="shared" ca="1" si="73"/>
        <v>--</v>
      </c>
      <c r="AQ50" s="9" t="str">
        <f t="shared" ca="1" si="74"/>
        <v>EXPIRED</v>
      </c>
      <c r="AR50" s="9" t="str">
        <f t="shared" ca="1" si="75"/>
        <v>--</v>
      </c>
      <c r="AS50" s="9" t="str">
        <f t="shared" ca="1" si="76"/>
        <v>EXPIRED</v>
      </c>
      <c r="AT50" s="9" t="str">
        <f t="shared" ca="1" si="77"/>
        <v>--</v>
      </c>
      <c r="AU50" s="9" t="str">
        <f t="shared" ca="1" si="89"/>
        <v>EXPIRED</v>
      </c>
      <c r="AV50" s="66"/>
      <c r="AW50" s="9" t="str">
        <f t="shared" ca="1" si="78"/>
        <v>EXPIRED</v>
      </c>
      <c r="AX50" s="9" t="str">
        <f t="shared" ca="1" si="79"/>
        <v>--</v>
      </c>
      <c r="AY50" s="9" t="str">
        <f t="shared" ca="1" si="80"/>
        <v>EXPIRED</v>
      </c>
      <c r="AZ50" s="9" t="str">
        <f t="shared" ca="1" si="81"/>
        <v>--</v>
      </c>
      <c r="BA50" s="9" t="str">
        <f t="shared" ca="1" si="82"/>
        <v>EXPIRED</v>
      </c>
      <c r="BB50" s="9" t="str">
        <f t="shared" ca="1" si="83"/>
        <v>--</v>
      </c>
      <c r="BC50" s="9" t="str">
        <f t="shared" ca="1" si="90"/>
        <v>EXPIRED</v>
      </c>
      <c r="BD50" s="66"/>
    </row>
    <row r="51" spans="1:56" ht="14.45" x14ac:dyDescent="0.3">
      <c r="A51" s="14">
        <f t="shared" si="91"/>
        <v>40</v>
      </c>
      <c r="B51" s="14">
        <f t="shared" si="91"/>
        <v>80</v>
      </c>
      <c r="C51" s="38">
        <f t="shared" si="4"/>
        <v>2.2080396636148518</v>
      </c>
      <c r="D51" s="66"/>
      <c r="E51" s="32" t="str">
        <f t="shared" ca="1" si="92"/>
        <v>EXPIRED</v>
      </c>
      <c r="F51" s="32" t="str">
        <f t="shared" ca="1" si="93"/>
        <v>--</v>
      </c>
      <c r="G51" s="32" t="str">
        <f t="shared" ca="1" si="94"/>
        <v>EXPIRED</v>
      </c>
      <c r="H51" s="32" t="str">
        <f ca="1">IF(Message&lt;&gt;"","--",I51*(1-IF(OR(Income!P50="NA",Income!P50=0),0.2,Income!P50)))</f>
        <v>--</v>
      </c>
      <c r="I51" s="32" t="str">
        <f t="shared" ca="1" si="95"/>
        <v>EXPIRED</v>
      </c>
      <c r="J51" s="66"/>
      <c r="K51" s="74" t="str">
        <f ca="1">IF(Message&lt;&gt;"",Message,Income!M50+Dashboard!I103+Dashboard!K103-Taxes!BR56)</f>
        <v>EXPIRED</v>
      </c>
      <c r="L51" s="74" t="str">
        <f t="shared" ca="1" si="96"/>
        <v>EXPIRED</v>
      </c>
      <c r="M51" s="5" t="str">
        <f t="shared" ca="1" si="97"/>
        <v>EXPIRED</v>
      </c>
      <c r="N51" s="5" t="str">
        <f ca="1">IF(Message&lt;&gt;"",Message,MAX(MIN(Target401K*C51,SUM(Income!D50:J50),W51+K51),-I50)+IF(W51+K51&lt;0,-M51,0))</f>
        <v>EXPIRED</v>
      </c>
      <c r="O51" s="66"/>
      <c r="P51" s="71" t="str">
        <f t="shared" ca="1" si="98"/>
        <v>EXPIRED</v>
      </c>
      <c r="Q51" s="71" t="str">
        <f t="shared" ca="1" si="99"/>
        <v>EXPIRED</v>
      </c>
      <c r="R51" s="66"/>
      <c r="S51" s="9" t="str">
        <f t="shared" ca="1" si="100"/>
        <v>EXPIRED</v>
      </c>
      <c r="T51" s="9" t="str">
        <f t="shared" ca="1" si="84"/>
        <v>EXPIRED</v>
      </c>
      <c r="U51" s="9">
        <f ca="1">+Taxes!L56</f>
        <v>0</v>
      </c>
      <c r="V51" s="9" t="str">
        <f t="shared" ca="1" si="101"/>
        <v>EXPIRED</v>
      </c>
      <c r="W51" s="9" t="e">
        <f t="shared" ca="1" si="85"/>
        <v>#VALUE!</v>
      </c>
      <c r="X51" s="66"/>
      <c r="Y51" s="9" t="str">
        <f t="shared" ca="1" si="102"/>
        <v>EXPIRED</v>
      </c>
      <c r="Z51" s="9" t="str">
        <f t="shared" ca="1" si="103"/>
        <v>--</v>
      </c>
      <c r="AA51" s="9" t="str">
        <f t="shared" ca="1" si="104"/>
        <v>EXPIRED</v>
      </c>
      <c r="AB51" s="9" t="str">
        <f t="shared" ca="1" si="105"/>
        <v>--</v>
      </c>
      <c r="AC51" s="9" t="str">
        <f t="shared" ca="1" si="106"/>
        <v>EXPIRED</v>
      </c>
      <c r="AD51" s="9" t="str">
        <f t="shared" ca="1" si="107"/>
        <v>--</v>
      </c>
      <c r="AE51" s="9" t="str">
        <f t="shared" ca="1" si="87"/>
        <v>EXPIRED</v>
      </c>
      <c r="AF51" s="66"/>
      <c r="AG51" s="9" t="str">
        <f t="shared" ca="1" si="66"/>
        <v>EXPIRED</v>
      </c>
      <c r="AH51" s="9" t="str">
        <f t="shared" ca="1" si="67"/>
        <v>--</v>
      </c>
      <c r="AI51" s="9" t="str">
        <f t="shared" ca="1" si="68"/>
        <v>EXPIRED</v>
      </c>
      <c r="AJ51" s="9" t="str">
        <f t="shared" ca="1" si="69"/>
        <v>--</v>
      </c>
      <c r="AK51" s="9" t="str">
        <f t="shared" ca="1" si="70"/>
        <v>EXPIRED</v>
      </c>
      <c r="AL51" s="9" t="str">
        <f t="shared" ca="1" si="71"/>
        <v>--</v>
      </c>
      <c r="AM51" s="9" t="str">
        <f t="shared" ca="1" si="88"/>
        <v>EXPIRED</v>
      </c>
      <c r="AN51" s="66"/>
      <c r="AO51" s="9" t="str">
        <f t="shared" ca="1" si="72"/>
        <v>EXPIRED</v>
      </c>
      <c r="AP51" s="9" t="str">
        <f t="shared" ca="1" si="73"/>
        <v>--</v>
      </c>
      <c r="AQ51" s="9" t="str">
        <f t="shared" ca="1" si="74"/>
        <v>EXPIRED</v>
      </c>
      <c r="AR51" s="9" t="str">
        <f t="shared" ca="1" si="75"/>
        <v>--</v>
      </c>
      <c r="AS51" s="9" t="str">
        <f t="shared" ca="1" si="76"/>
        <v>EXPIRED</v>
      </c>
      <c r="AT51" s="9" t="str">
        <f t="shared" ca="1" si="77"/>
        <v>--</v>
      </c>
      <c r="AU51" s="9" t="str">
        <f t="shared" ca="1" si="89"/>
        <v>EXPIRED</v>
      </c>
      <c r="AV51" s="66"/>
      <c r="AW51" s="9" t="str">
        <f t="shared" ca="1" si="78"/>
        <v>EXPIRED</v>
      </c>
      <c r="AX51" s="9" t="str">
        <f t="shared" ca="1" si="79"/>
        <v>--</v>
      </c>
      <c r="AY51" s="9" t="str">
        <f t="shared" ca="1" si="80"/>
        <v>EXPIRED</v>
      </c>
      <c r="AZ51" s="9" t="str">
        <f t="shared" ca="1" si="81"/>
        <v>--</v>
      </c>
      <c r="BA51" s="9" t="str">
        <f t="shared" ca="1" si="82"/>
        <v>EXPIRED</v>
      </c>
      <c r="BB51" s="9" t="str">
        <f t="shared" ca="1" si="83"/>
        <v>--</v>
      </c>
      <c r="BC51" s="9" t="str">
        <f t="shared" ca="1" si="90"/>
        <v>EXPIRED</v>
      </c>
      <c r="BD51" s="66"/>
    </row>
    <row r="52" spans="1:56" ht="14.45" x14ac:dyDescent="0.3">
      <c r="A52" s="14">
        <f t="shared" si="91"/>
        <v>41</v>
      </c>
      <c r="B52" s="14">
        <f t="shared" si="91"/>
        <v>81</v>
      </c>
      <c r="C52" s="38">
        <f t="shared" si="4"/>
        <v>2.2522004568871488</v>
      </c>
      <c r="D52" s="66"/>
      <c r="E52" s="32" t="str">
        <f t="shared" ca="1" si="92"/>
        <v>EXPIRED</v>
      </c>
      <c r="F52" s="32" t="str">
        <f t="shared" ca="1" si="93"/>
        <v>--</v>
      </c>
      <c r="G52" s="32" t="str">
        <f t="shared" ca="1" si="94"/>
        <v>EXPIRED</v>
      </c>
      <c r="H52" s="32" t="str">
        <f ca="1">IF(Message&lt;&gt;"","--",I52*(1-IF(OR(Income!P51="NA",Income!P51=0),0.2,Income!P51)))</f>
        <v>--</v>
      </c>
      <c r="I52" s="32" t="str">
        <f t="shared" ca="1" si="95"/>
        <v>EXPIRED</v>
      </c>
      <c r="J52" s="66"/>
      <c r="K52" s="74" t="str">
        <f ca="1">IF(Message&lt;&gt;"",Message,Income!M51+Dashboard!I104+Dashboard!K104-Taxes!BR57)</f>
        <v>EXPIRED</v>
      </c>
      <c r="L52" s="74" t="str">
        <f t="shared" ca="1" si="96"/>
        <v>EXPIRED</v>
      </c>
      <c r="M52" s="5" t="str">
        <f t="shared" ca="1" si="97"/>
        <v>EXPIRED</v>
      </c>
      <c r="N52" s="5" t="str">
        <f ca="1">IF(Message&lt;&gt;"",Message,MAX(MIN(Target401K*C52,SUM(Income!D51:J51),W52+K52),-I51)+IF(W52+K52&lt;0,-M52,0))</f>
        <v>EXPIRED</v>
      </c>
      <c r="O52" s="66"/>
      <c r="P52" s="71" t="str">
        <f t="shared" ca="1" si="98"/>
        <v>EXPIRED</v>
      </c>
      <c r="Q52" s="71" t="str">
        <f t="shared" ca="1" si="99"/>
        <v>EXPIRED</v>
      </c>
      <c r="R52" s="66"/>
      <c r="S52" s="9" t="str">
        <f t="shared" ca="1" si="100"/>
        <v>EXPIRED</v>
      </c>
      <c r="T52" s="9" t="str">
        <f t="shared" ca="1" si="84"/>
        <v>EXPIRED</v>
      </c>
      <c r="U52" s="9">
        <f ca="1">+Taxes!L57</f>
        <v>0</v>
      </c>
      <c r="V52" s="9" t="str">
        <f t="shared" ca="1" si="101"/>
        <v>EXPIRED</v>
      </c>
      <c r="W52" s="9" t="e">
        <f t="shared" ca="1" si="85"/>
        <v>#VALUE!</v>
      </c>
      <c r="X52" s="66"/>
      <c r="Y52" s="9" t="str">
        <f t="shared" ca="1" si="102"/>
        <v>EXPIRED</v>
      </c>
      <c r="Z52" s="9" t="str">
        <f t="shared" ca="1" si="103"/>
        <v>--</v>
      </c>
      <c r="AA52" s="9" t="str">
        <f t="shared" ca="1" si="104"/>
        <v>EXPIRED</v>
      </c>
      <c r="AB52" s="9" t="str">
        <f t="shared" ca="1" si="105"/>
        <v>--</v>
      </c>
      <c r="AC52" s="9" t="str">
        <f t="shared" ca="1" si="106"/>
        <v>EXPIRED</v>
      </c>
      <c r="AD52" s="9" t="str">
        <f t="shared" ca="1" si="107"/>
        <v>--</v>
      </c>
      <c r="AE52" s="9" t="str">
        <f t="shared" ca="1" si="87"/>
        <v>EXPIRED</v>
      </c>
      <c r="AF52" s="66"/>
      <c r="AG52" s="9" t="str">
        <f t="shared" ca="1" si="66"/>
        <v>EXPIRED</v>
      </c>
      <c r="AH52" s="9" t="str">
        <f t="shared" ca="1" si="67"/>
        <v>--</v>
      </c>
      <c r="AI52" s="9" t="str">
        <f t="shared" ca="1" si="68"/>
        <v>EXPIRED</v>
      </c>
      <c r="AJ52" s="9" t="str">
        <f t="shared" ca="1" si="69"/>
        <v>--</v>
      </c>
      <c r="AK52" s="9" t="str">
        <f t="shared" ca="1" si="70"/>
        <v>EXPIRED</v>
      </c>
      <c r="AL52" s="9" t="str">
        <f t="shared" ca="1" si="71"/>
        <v>--</v>
      </c>
      <c r="AM52" s="9" t="str">
        <f t="shared" ca="1" si="88"/>
        <v>EXPIRED</v>
      </c>
      <c r="AN52" s="66"/>
      <c r="AO52" s="9" t="str">
        <f t="shared" ca="1" si="72"/>
        <v>EXPIRED</v>
      </c>
      <c r="AP52" s="9" t="str">
        <f t="shared" ca="1" si="73"/>
        <v>--</v>
      </c>
      <c r="AQ52" s="9" t="str">
        <f t="shared" ca="1" si="74"/>
        <v>EXPIRED</v>
      </c>
      <c r="AR52" s="9" t="str">
        <f t="shared" ca="1" si="75"/>
        <v>--</v>
      </c>
      <c r="AS52" s="9" t="str">
        <f t="shared" ca="1" si="76"/>
        <v>EXPIRED</v>
      </c>
      <c r="AT52" s="9" t="str">
        <f t="shared" ca="1" si="77"/>
        <v>--</v>
      </c>
      <c r="AU52" s="9" t="str">
        <f t="shared" ca="1" si="89"/>
        <v>EXPIRED</v>
      </c>
      <c r="AV52" s="66"/>
      <c r="AW52" s="9" t="str">
        <f t="shared" ca="1" si="78"/>
        <v>EXPIRED</v>
      </c>
      <c r="AX52" s="9" t="str">
        <f t="shared" ca="1" si="79"/>
        <v>--</v>
      </c>
      <c r="AY52" s="9" t="str">
        <f t="shared" ca="1" si="80"/>
        <v>EXPIRED</v>
      </c>
      <c r="AZ52" s="9" t="str">
        <f t="shared" ca="1" si="81"/>
        <v>--</v>
      </c>
      <c r="BA52" s="9" t="str">
        <f t="shared" ca="1" si="82"/>
        <v>EXPIRED</v>
      </c>
      <c r="BB52" s="9" t="str">
        <f t="shared" ca="1" si="83"/>
        <v>--</v>
      </c>
      <c r="BC52" s="9" t="str">
        <f t="shared" ca="1" si="90"/>
        <v>EXPIRED</v>
      </c>
      <c r="BD52" s="66"/>
    </row>
    <row r="53" spans="1:56" ht="14.45" x14ac:dyDescent="0.3">
      <c r="A53" s="14">
        <f t="shared" si="91"/>
        <v>42</v>
      </c>
      <c r="B53" s="14">
        <f t="shared" si="91"/>
        <v>82</v>
      </c>
      <c r="C53" s="38">
        <f t="shared" si="4"/>
        <v>2.2972444660248916</v>
      </c>
      <c r="D53" s="66"/>
      <c r="E53" s="32" t="str">
        <f t="shared" ca="1" si="92"/>
        <v>EXPIRED</v>
      </c>
      <c r="F53" s="32" t="str">
        <f t="shared" ca="1" si="93"/>
        <v>--</v>
      </c>
      <c r="G53" s="32" t="str">
        <f t="shared" ca="1" si="94"/>
        <v>EXPIRED</v>
      </c>
      <c r="H53" s="32" t="str">
        <f ca="1">IF(Message&lt;&gt;"","--",I53*(1-IF(OR(Income!P52="NA",Income!P52=0),0.2,Income!P52)))</f>
        <v>--</v>
      </c>
      <c r="I53" s="32" t="str">
        <f t="shared" ca="1" si="95"/>
        <v>EXPIRED</v>
      </c>
      <c r="J53" s="66"/>
      <c r="K53" s="74" t="str">
        <f ca="1">IF(Message&lt;&gt;"",Message,Income!M52+Dashboard!I105+Dashboard!K105-Taxes!BR58)</f>
        <v>EXPIRED</v>
      </c>
      <c r="L53" s="74" t="str">
        <f t="shared" ca="1" si="96"/>
        <v>EXPIRED</v>
      </c>
      <c r="M53" s="5" t="str">
        <f t="shared" ca="1" si="97"/>
        <v>EXPIRED</v>
      </c>
      <c r="N53" s="5" t="str">
        <f ca="1">IF(Message&lt;&gt;"",Message,MAX(MIN(Target401K*C53,SUM(Income!D52:J52),W53+K53),-I52)+IF(W53+K53&lt;0,-M53,0))</f>
        <v>EXPIRED</v>
      </c>
      <c r="O53" s="66"/>
      <c r="P53" s="71" t="str">
        <f t="shared" ca="1" si="98"/>
        <v>EXPIRED</v>
      </c>
      <c r="Q53" s="71" t="str">
        <f t="shared" ca="1" si="99"/>
        <v>EXPIRED</v>
      </c>
      <c r="R53" s="66"/>
      <c r="S53" s="9" t="str">
        <f t="shared" ca="1" si="100"/>
        <v>EXPIRED</v>
      </c>
      <c r="T53" s="9" t="str">
        <f t="shared" ca="1" si="84"/>
        <v>EXPIRED</v>
      </c>
      <c r="U53" s="9">
        <f ca="1">+Taxes!L58</f>
        <v>0</v>
      </c>
      <c r="V53" s="9" t="str">
        <f t="shared" ca="1" si="101"/>
        <v>EXPIRED</v>
      </c>
      <c r="W53" s="9" t="e">
        <f t="shared" ca="1" si="85"/>
        <v>#VALUE!</v>
      </c>
      <c r="X53" s="66"/>
      <c r="Y53" s="9" t="str">
        <f t="shared" ca="1" si="102"/>
        <v>EXPIRED</v>
      </c>
      <c r="Z53" s="9" t="str">
        <f t="shared" ca="1" si="103"/>
        <v>--</v>
      </c>
      <c r="AA53" s="9" t="str">
        <f t="shared" ca="1" si="104"/>
        <v>EXPIRED</v>
      </c>
      <c r="AB53" s="9" t="str">
        <f t="shared" ca="1" si="105"/>
        <v>--</v>
      </c>
      <c r="AC53" s="9" t="str">
        <f t="shared" ca="1" si="106"/>
        <v>EXPIRED</v>
      </c>
      <c r="AD53" s="9" t="str">
        <f t="shared" ca="1" si="107"/>
        <v>--</v>
      </c>
      <c r="AE53" s="9" t="str">
        <f t="shared" ca="1" si="87"/>
        <v>EXPIRED</v>
      </c>
      <c r="AF53" s="66"/>
      <c r="AG53" s="9" t="str">
        <f t="shared" ca="1" si="66"/>
        <v>EXPIRED</v>
      </c>
      <c r="AH53" s="9" t="str">
        <f t="shared" ca="1" si="67"/>
        <v>--</v>
      </c>
      <c r="AI53" s="9" t="str">
        <f t="shared" ca="1" si="68"/>
        <v>EXPIRED</v>
      </c>
      <c r="AJ53" s="9" t="str">
        <f t="shared" ca="1" si="69"/>
        <v>--</v>
      </c>
      <c r="AK53" s="9" t="str">
        <f t="shared" ca="1" si="70"/>
        <v>EXPIRED</v>
      </c>
      <c r="AL53" s="9" t="str">
        <f t="shared" ca="1" si="71"/>
        <v>--</v>
      </c>
      <c r="AM53" s="9" t="str">
        <f t="shared" ca="1" si="88"/>
        <v>EXPIRED</v>
      </c>
      <c r="AN53" s="66"/>
      <c r="AO53" s="9" t="str">
        <f t="shared" ca="1" si="72"/>
        <v>EXPIRED</v>
      </c>
      <c r="AP53" s="9" t="str">
        <f t="shared" ca="1" si="73"/>
        <v>--</v>
      </c>
      <c r="AQ53" s="9" t="str">
        <f t="shared" ca="1" si="74"/>
        <v>EXPIRED</v>
      </c>
      <c r="AR53" s="9" t="str">
        <f t="shared" ca="1" si="75"/>
        <v>--</v>
      </c>
      <c r="AS53" s="9" t="str">
        <f t="shared" ca="1" si="76"/>
        <v>EXPIRED</v>
      </c>
      <c r="AT53" s="9" t="str">
        <f t="shared" ca="1" si="77"/>
        <v>--</v>
      </c>
      <c r="AU53" s="9" t="str">
        <f t="shared" ca="1" si="89"/>
        <v>EXPIRED</v>
      </c>
      <c r="AV53" s="66"/>
      <c r="AW53" s="9" t="str">
        <f t="shared" ca="1" si="78"/>
        <v>EXPIRED</v>
      </c>
      <c r="AX53" s="9" t="str">
        <f t="shared" ca="1" si="79"/>
        <v>--</v>
      </c>
      <c r="AY53" s="9" t="str">
        <f t="shared" ca="1" si="80"/>
        <v>EXPIRED</v>
      </c>
      <c r="AZ53" s="9" t="str">
        <f t="shared" ca="1" si="81"/>
        <v>--</v>
      </c>
      <c r="BA53" s="9" t="str">
        <f t="shared" ca="1" si="82"/>
        <v>EXPIRED</v>
      </c>
      <c r="BB53" s="9" t="str">
        <f t="shared" ca="1" si="83"/>
        <v>--</v>
      </c>
      <c r="BC53" s="9" t="str">
        <f t="shared" ca="1" si="90"/>
        <v>EXPIRED</v>
      </c>
      <c r="BD53" s="66"/>
    </row>
    <row r="54" spans="1:56" ht="14.45" x14ac:dyDescent="0.3">
      <c r="A54" s="14">
        <f t="shared" si="91"/>
        <v>43</v>
      </c>
      <c r="B54" s="14">
        <f t="shared" si="91"/>
        <v>83</v>
      </c>
      <c r="C54" s="38">
        <f t="shared" si="4"/>
        <v>2.3431893553453893</v>
      </c>
      <c r="D54" s="66"/>
      <c r="E54" s="32" t="str">
        <f t="shared" ca="1" si="92"/>
        <v>EXPIRED</v>
      </c>
      <c r="F54" s="32" t="str">
        <f t="shared" ca="1" si="93"/>
        <v>--</v>
      </c>
      <c r="G54" s="32" t="str">
        <f t="shared" ca="1" si="94"/>
        <v>EXPIRED</v>
      </c>
      <c r="H54" s="32" t="str">
        <f ca="1">IF(Message&lt;&gt;"","--",I54*(1-IF(OR(Income!P53="NA",Income!P53=0),0.2,Income!P53)))</f>
        <v>--</v>
      </c>
      <c r="I54" s="32" t="str">
        <f t="shared" ca="1" si="95"/>
        <v>EXPIRED</v>
      </c>
      <c r="J54" s="66"/>
      <c r="K54" s="74" t="str">
        <f ca="1">IF(Message&lt;&gt;"",Message,Income!M53+Dashboard!I106+Dashboard!K106-Taxes!BR59)</f>
        <v>EXPIRED</v>
      </c>
      <c r="L54" s="74" t="str">
        <f t="shared" ca="1" si="96"/>
        <v>EXPIRED</v>
      </c>
      <c r="M54" s="5" t="str">
        <f t="shared" ca="1" si="97"/>
        <v>EXPIRED</v>
      </c>
      <c r="N54" s="5" t="str">
        <f ca="1">IF(Message&lt;&gt;"",Message,MAX(MIN(Target401K*C54,SUM(Income!D53:J53),W54+K54),-I53)+IF(W54+K54&lt;0,-M54,0))</f>
        <v>EXPIRED</v>
      </c>
      <c r="O54" s="66"/>
      <c r="P54" s="71" t="str">
        <f t="shared" ca="1" si="98"/>
        <v>EXPIRED</v>
      </c>
      <c r="Q54" s="71" t="str">
        <f t="shared" ca="1" si="99"/>
        <v>EXPIRED</v>
      </c>
      <c r="R54" s="66"/>
      <c r="S54" s="9" t="str">
        <f t="shared" ca="1" si="100"/>
        <v>EXPIRED</v>
      </c>
      <c r="T54" s="9" t="str">
        <f t="shared" ca="1" si="84"/>
        <v>EXPIRED</v>
      </c>
      <c r="U54" s="9">
        <f ca="1">+Taxes!L59</f>
        <v>0</v>
      </c>
      <c r="V54" s="9" t="str">
        <f t="shared" ca="1" si="101"/>
        <v>EXPIRED</v>
      </c>
      <c r="W54" s="9" t="e">
        <f t="shared" ca="1" si="85"/>
        <v>#VALUE!</v>
      </c>
      <c r="X54" s="66"/>
      <c r="Y54" s="9" t="str">
        <f t="shared" ca="1" si="102"/>
        <v>EXPIRED</v>
      </c>
      <c r="Z54" s="9" t="str">
        <f t="shared" ca="1" si="103"/>
        <v>--</v>
      </c>
      <c r="AA54" s="9" t="str">
        <f t="shared" ca="1" si="104"/>
        <v>EXPIRED</v>
      </c>
      <c r="AB54" s="9" t="str">
        <f t="shared" ca="1" si="105"/>
        <v>--</v>
      </c>
      <c r="AC54" s="9" t="str">
        <f t="shared" ca="1" si="106"/>
        <v>EXPIRED</v>
      </c>
      <c r="AD54" s="9" t="str">
        <f t="shared" ca="1" si="107"/>
        <v>--</v>
      </c>
      <c r="AE54" s="9" t="str">
        <f t="shared" ca="1" si="87"/>
        <v>EXPIRED</v>
      </c>
      <c r="AF54" s="66"/>
      <c r="AG54" s="9" t="str">
        <f t="shared" ca="1" si="66"/>
        <v>EXPIRED</v>
      </c>
      <c r="AH54" s="9" t="str">
        <f t="shared" ca="1" si="67"/>
        <v>--</v>
      </c>
      <c r="AI54" s="9" t="str">
        <f t="shared" ca="1" si="68"/>
        <v>EXPIRED</v>
      </c>
      <c r="AJ54" s="9" t="str">
        <f t="shared" ca="1" si="69"/>
        <v>--</v>
      </c>
      <c r="AK54" s="9" t="str">
        <f t="shared" ca="1" si="70"/>
        <v>EXPIRED</v>
      </c>
      <c r="AL54" s="9" t="str">
        <f t="shared" ca="1" si="71"/>
        <v>--</v>
      </c>
      <c r="AM54" s="9" t="str">
        <f t="shared" ca="1" si="88"/>
        <v>EXPIRED</v>
      </c>
      <c r="AN54" s="66"/>
      <c r="AO54" s="9" t="str">
        <f t="shared" ca="1" si="72"/>
        <v>EXPIRED</v>
      </c>
      <c r="AP54" s="9" t="str">
        <f t="shared" ca="1" si="73"/>
        <v>--</v>
      </c>
      <c r="AQ54" s="9" t="str">
        <f t="shared" ca="1" si="74"/>
        <v>EXPIRED</v>
      </c>
      <c r="AR54" s="9" t="str">
        <f t="shared" ca="1" si="75"/>
        <v>--</v>
      </c>
      <c r="AS54" s="9" t="str">
        <f t="shared" ca="1" si="76"/>
        <v>EXPIRED</v>
      </c>
      <c r="AT54" s="9" t="str">
        <f t="shared" ca="1" si="77"/>
        <v>--</v>
      </c>
      <c r="AU54" s="9" t="str">
        <f t="shared" ca="1" si="89"/>
        <v>EXPIRED</v>
      </c>
      <c r="AV54" s="66"/>
      <c r="AW54" s="9" t="str">
        <f t="shared" ca="1" si="78"/>
        <v>EXPIRED</v>
      </c>
      <c r="AX54" s="9" t="str">
        <f t="shared" ca="1" si="79"/>
        <v>--</v>
      </c>
      <c r="AY54" s="9" t="str">
        <f t="shared" ca="1" si="80"/>
        <v>EXPIRED</v>
      </c>
      <c r="AZ54" s="9" t="str">
        <f t="shared" ca="1" si="81"/>
        <v>--</v>
      </c>
      <c r="BA54" s="9" t="str">
        <f t="shared" ca="1" si="82"/>
        <v>EXPIRED</v>
      </c>
      <c r="BB54" s="9" t="str">
        <f t="shared" ca="1" si="83"/>
        <v>--</v>
      </c>
      <c r="BC54" s="9" t="str">
        <f t="shared" ca="1" si="90"/>
        <v>EXPIRED</v>
      </c>
      <c r="BD54" s="66"/>
    </row>
    <row r="55" spans="1:56" ht="14.45" x14ac:dyDescent="0.3">
      <c r="A55" s="14">
        <f t="shared" si="91"/>
        <v>44</v>
      </c>
      <c r="B55" s="14">
        <f t="shared" si="91"/>
        <v>84</v>
      </c>
      <c r="C55" s="38">
        <f t="shared" si="4"/>
        <v>2.3900531424522975</v>
      </c>
      <c r="D55" s="66"/>
      <c r="E55" s="32" t="str">
        <f t="shared" ca="1" si="92"/>
        <v>EXPIRED</v>
      </c>
      <c r="F55" s="32" t="str">
        <f t="shared" ca="1" si="93"/>
        <v>--</v>
      </c>
      <c r="G55" s="32" t="str">
        <f t="shared" ca="1" si="94"/>
        <v>EXPIRED</v>
      </c>
      <c r="H55" s="32" t="str">
        <f ca="1">IF(Message&lt;&gt;"","--",I55*(1-IF(OR(Income!P54="NA",Income!P54=0),0.2,Income!P54)))</f>
        <v>--</v>
      </c>
      <c r="I55" s="32" t="str">
        <f t="shared" ca="1" si="95"/>
        <v>EXPIRED</v>
      </c>
      <c r="J55" s="66"/>
      <c r="K55" s="74" t="str">
        <f ca="1">IF(Message&lt;&gt;"",Message,Income!M54+Dashboard!I107+Dashboard!K107-Taxes!BR60)</f>
        <v>EXPIRED</v>
      </c>
      <c r="L55" s="74" t="str">
        <f t="shared" ca="1" si="96"/>
        <v>EXPIRED</v>
      </c>
      <c r="M55" s="5" t="str">
        <f t="shared" ca="1" si="97"/>
        <v>EXPIRED</v>
      </c>
      <c r="N55" s="5" t="str">
        <f ca="1">IF(Message&lt;&gt;"",Message,MAX(MIN(Target401K*C55,SUM(Income!D54:J54),W55+K55),-I54)+IF(W55+K55&lt;0,-M55,0))</f>
        <v>EXPIRED</v>
      </c>
      <c r="O55" s="66"/>
      <c r="P55" s="71" t="str">
        <f t="shared" ca="1" si="98"/>
        <v>EXPIRED</v>
      </c>
      <c r="Q55" s="71" t="str">
        <f t="shared" ca="1" si="99"/>
        <v>EXPIRED</v>
      </c>
      <c r="R55" s="66"/>
      <c r="S55" s="9" t="str">
        <f t="shared" ca="1" si="100"/>
        <v>EXPIRED</v>
      </c>
      <c r="T55" s="9" t="str">
        <f t="shared" ca="1" si="84"/>
        <v>EXPIRED</v>
      </c>
      <c r="U55" s="9">
        <f ca="1">+Taxes!L60</f>
        <v>0</v>
      </c>
      <c r="V55" s="9" t="str">
        <f t="shared" ca="1" si="101"/>
        <v>EXPIRED</v>
      </c>
      <c r="W55" s="9" t="e">
        <f t="shared" ca="1" si="85"/>
        <v>#VALUE!</v>
      </c>
      <c r="X55" s="66"/>
      <c r="Y55" s="9" t="str">
        <f t="shared" ca="1" si="102"/>
        <v>EXPIRED</v>
      </c>
      <c r="Z55" s="9" t="str">
        <f t="shared" ca="1" si="103"/>
        <v>--</v>
      </c>
      <c r="AA55" s="9" t="str">
        <f t="shared" ca="1" si="104"/>
        <v>EXPIRED</v>
      </c>
      <c r="AB55" s="9" t="str">
        <f t="shared" ca="1" si="105"/>
        <v>--</v>
      </c>
      <c r="AC55" s="9" t="str">
        <f t="shared" ca="1" si="106"/>
        <v>EXPIRED</v>
      </c>
      <c r="AD55" s="9" t="str">
        <f t="shared" ca="1" si="107"/>
        <v>--</v>
      </c>
      <c r="AE55" s="9" t="str">
        <f t="shared" ca="1" si="87"/>
        <v>EXPIRED</v>
      </c>
      <c r="AF55" s="66"/>
      <c r="AG55" s="9" t="str">
        <f t="shared" ca="1" si="66"/>
        <v>EXPIRED</v>
      </c>
      <c r="AH55" s="9" t="str">
        <f t="shared" ca="1" si="67"/>
        <v>--</v>
      </c>
      <c r="AI55" s="9" t="str">
        <f t="shared" ca="1" si="68"/>
        <v>EXPIRED</v>
      </c>
      <c r="AJ55" s="9" t="str">
        <f t="shared" ca="1" si="69"/>
        <v>--</v>
      </c>
      <c r="AK55" s="9" t="str">
        <f t="shared" ca="1" si="70"/>
        <v>EXPIRED</v>
      </c>
      <c r="AL55" s="9" t="str">
        <f t="shared" ca="1" si="71"/>
        <v>--</v>
      </c>
      <c r="AM55" s="9" t="str">
        <f t="shared" ca="1" si="88"/>
        <v>EXPIRED</v>
      </c>
      <c r="AN55" s="66"/>
      <c r="AO55" s="9" t="str">
        <f t="shared" ca="1" si="72"/>
        <v>EXPIRED</v>
      </c>
      <c r="AP55" s="9" t="str">
        <f t="shared" ca="1" si="73"/>
        <v>--</v>
      </c>
      <c r="AQ55" s="9" t="str">
        <f t="shared" ca="1" si="74"/>
        <v>EXPIRED</v>
      </c>
      <c r="AR55" s="9" t="str">
        <f t="shared" ca="1" si="75"/>
        <v>--</v>
      </c>
      <c r="AS55" s="9" t="str">
        <f t="shared" ca="1" si="76"/>
        <v>EXPIRED</v>
      </c>
      <c r="AT55" s="9" t="str">
        <f t="shared" ca="1" si="77"/>
        <v>--</v>
      </c>
      <c r="AU55" s="9" t="str">
        <f t="shared" ca="1" si="89"/>
        <v>EXPIRED</v>
      </c>
      <c r="AV55" s="66"/>
      <c r="AW55" s="9" t="str">
        <f t="shared" ca="1" si="78"/>
        <v>EXPIRED</v>
      </c>
      <c r="AX55" s="9" t="str">
        <f t="shared" ca="1" si="79"/>
        <v>--</v>
      </c>
      <c r="AY55" s="9" t="str">
        <f t="shared" ca="1" si="80"/>
        <v>EXPIRED</v>
      </c>
      <c r="AZ55" s="9" t="str">
        <f t="shared" ca="1" si="81"/>
        <v>--</v>
      </c>
      <c r="BA55" s="9" t="str">
        <f t="shared" ca="1" si="82"/>
        <v>EXPIRED</v>
      </c>
      <c r="BB55" s="9" t="str">
        <f t="shared" ca="1" si="83"/>
        <v>--</v>
      </c>
      <c r="BC55" s="9" t="str">
        <f t="shared" ca="1" si="90"/>
        <v>EXPIRED</v>
      </c>
      <c r="BD55" s="66"/>
    </row>
    <row r="56" spans="1:56" ht="14.45" x14ac:dyDescent="0.3">
      <c r="A56" s="14">
        <f t="shared" si="91"/>
        <v>45</v>
      </c>
      <c r="B56" s="14">
        <f t="shared" si="91"/>
        <v>85</v>
      </c>
      <c r="C56" s="38">
        <f t="shared" si="4"/>
        <v>2.4378542053013432</v>
      </c>
      <c r="D56" s="66"/>
      <c r="E56" s="32" t="str">
        <f t="shared" ca="1" si="92"/>
        <v>EXPIRED</v>
      </c>
      <c r="F56" s="32" t="str">
        <f t="shared" ca="1" si="93"/>
        <v>--</v>
      </c>
      <c r="G56" s="32" t="str">
        <f t="shared" ca="1" si="94"/>
        <v>EXPIRED</v>
      </c>
      <c r="H56" s="32" t="str">
        <f ca="1">IF(Message&lt;&gt;"","--",I56*(1-IF(OR(Income!P55="NA",Income!P55=0),0.2,Income!P55)))</f>
        <v>--</v>
      </c>
      <c r="I56" s="32" t="str">
        <f t="shared" ca="1" si="95"/>
        <v>EXPIRED</v>
      </c>
      <c r="J56" s="66"/>
      <c r="K56" s="74" t="str">
        <f ca="1">IF(Message&lt;&gt;"",Message,Income!M55+Dashboard!I108+Dashboard!K108-Taxes!BR61)</f>
        <v>EXPIRED</v>
      </c>
      <c r="L56" s="74" t="str">
        <f t="shared" ca="1" si="96"/>
        <v>EXPIRED</v>
      </c>
      <c r="M56" s="5" t="str">
        <f t="shared" ca="1" si="97"/>
        <v>EXPIRED</v>
      </c>
      <c r="N56" s="5" t="str">
        <f ca="1">IF(Message&lt;&gt;"",Message,MAX(MIN(Target401K*C56,SUM(Income!D55:J55),W56+K56),-I55)+IF(W56+K56&lt;0,-M56,0))</f>
        <v>EXPIRED</v>
      </c>
      <c r="O56" s="66"/>
      <c r="P56" s="71" t="str">
        <f t="shared" ca="1" si="98"/>
        <v>EXPIRED</v>
      </c>
      <c r="Q56" s="71" t="str">
        <f t="shared" ca="1" si="99"/>
        <v>EXPIRED</v>
      </c>
      <c r="R56" s="66"/>
      <c r="S56" s="9" t="str">
        <f t="shared" ca="1" si="100"/>
        <v>EXPIRED</v>
      </c>
      <c r="T56" s="9" t="str">
        <f t="shared" ca="1" si="84"/>
        <v>EXPIRED</v>
      </c>
      <c r="U56" s="9">
        <f ca="1">+Taxes!L61</f>
        <v>0</v>
      </c>
      <c r="V56" s="9" t="str">
        <f t="shared" ca="1" si="101"/>
        <v>EXPIRED</v>
      </c>
      <c r="W56" s="9" t="e">
        <f t="shared" ca="1" si="85"/>
        <v>#VALUE!</v>
      </c>
      <c r="X56" s="66"/>
      <c r="Y56" s="9" t="str">
        <f t="shared" ca="1" si="102"/>
        <v>EXPIRED</v>
      </c>
      <c r="Z56" s="9" t="str">
        <f t="shared" ca="1" si="103"/>
        <v>--</v>
      </c>
      <c r="AA56" s="9" t="str">
        <f t="shared" ca="1" si="104"/>
        <v>EXPIRED</v>
      </c>
      <c r="AB56" s="9" t="str">
        <f t="shared" ca="1" si="105"/>
        <v>--</v>
      </c>
      <c r="AC56" s="9" t="str">
        <f t="shared" ca="1" si="106"/>
        <v>EXPIRED</v>
      </c>
      <c r="AD56" s="9" t="str">
        <f t="shared" ca="1" si="107"/>
        <v>--</v>
      </c>
      <c r="AE56" s="9" t="str">
        <f t="shared" ca="1" si="87"/>
        <v>EXPIRED</v>
      </c>
      <c r="AF56" s="66"/>
      <c r="AG56" s="9" t="str">
        <f t="shared" ca="1" si="66"/>
        <v>EXPIRED</v>
      </c>
      <c r="AH56" s="9" t="str">
        <f t="shared" ca="1" si="67"/>
        <v>--</v>
      </c>
      <c r="AI56" s="9" t="str">
        <f t="shared" ca="1" si="68"/>
        <v>EXPIRED</v>
      </c>
      <c r="AJ56" s="9" t="str">
        <f t="shared" ca="1" si="69"/>
        <v>--</v>
      </c>
      <c r="AK56" s="9" t="str">
        <f t="shared" ca="1" si="70"/>
        <v>EXPIRED</v>
      </c>
      <c r="AL56" s="9" t="str">
        <f t="shared" ca="1" si="71"/>
        <v>--</v>
      </c>
      <c r="AM56" s="9" t="str">
        <f t="shared" ca="1" si="88"/>
        <v>EXPIRED</v>
      </c>
      <c r="AN56" s="66"/>
      <c r="AO56" s="9" t="str">
        <f t="shared" ca="1" si="72"/>
        <v>EXPIRED</v>
      </c>
      <c r="AP56" s="9" t="str">
        <f t="shared" ca="1" si="73"/>
        <v>--</v>
      </c>
      <c r="AQ56" s="9" t="str">
        <f t="shared" ca="1" si="74"/>
        <v>EXPIRED</v>
      </c>
      <c r="AR56" s="9" t="str">
        <f t="shared" ca="1" si="75"/>
        <v>--</v>
      </c>
      <c r="AS56" s="9" t="str">
        <f t="shared" ca="1" si="76"/>
        <v>EXPIRED</v>
      </c>
      <c r="AT56" s="9" t="str">
        <f t="shared" ca="1" si="77"/>
        <v>--</v>
      </c>
      <c r="AU56" s="9" t="str">
        <f t="shared" ca="1" si="89"/>
        <v>EXPIRED</v>
      </c>
      <c r="AV56" s="66"/>
      <c r="AW56" s="9" t="str">
        <f t="shared" ca="1" si="78"/>
        <v>EXPIRED</v>
      </c>
      <c r="AX56" s="9" t="str">
        <f t="shared" ca="1" si="79"/>
        <v>--</v>
      </c>
      <c r="AY56" s="9" t="str">
        <f t="shared" ca="1" si="80"/>
        <v>EXPIRED</v>
      </c>
      <c r="AZ56" s="9" t="str">
        <f t="shared" ca="1" si="81"/>
        <v>--</v>
      </c>
      <c r="BA56" s="9" t="str">
        <f t="shared" ca="1" si="82"/>
        <v>EXPIRED</v>
      </c>
      <c r="BB56" s="9" t="str">
        <f t="shared" ca="1" si="83"/>
        <v>--</v>
      </c>
      <c r="BC56" s="9" t="str">
        <f t="shared" ca="1" si="90"/>
        <v>EXPIRED</v>
      </c>
      <c r="BD56" s="66"/>
    </row>
    <row r="57" spans="1:56" ht="14.45" x14ac:dyDescent="0.3">
      <c r="A57" s="14">
        <f t="shared" si="91"/>
        <v>46</v>
      </c>
      <c r="B57" s="14">
        <f t="shared" si="91"/>
        <v>86</v>
      </c>
      <c r="C57" s="38">
        <f t="shared" si="4"/>
        <v>2.4866112894073704</v>
      </c>
      <c r="D57" s="66"/>
      <c r="E57" s="32" t="str">
        <f t="shared" ca="1" si="92"/>
        <v>EXPIRED</v>
      </c>
      <c r="F57" s="32" t="str">
        <f t="shared" ca="1" si="93"/>
        <v>--</v>
      </c>
      <c r="G57" s="32" t="str">
        <f t="shared" ca="1" si="94"/>
        <v>EXPIRED</v>
      </c>
      <c r="H57" s="32" t="str">
        <f ca="1">IF(Message&lt;&gt;"","--",I57*(1-IF(OR(Income!P56="NA",Income!P56=0),0.2,Income!P56)))</f>
        <v>--</v>
      </c>
      <c r="I57" s="32" t="str">
        <f t="shared" ca="1" si="95"/>
        <v>EXPIRED</v>
      </c>
      <c r="J57" s="66"/>
      <c r="K57" s="74" t="str">
        <f ca="1">IF(Message&lt;&gt;"",Message,Income!M56+Dashboard!I109+Dashboard!K109-Taxes!BR62)</f>
        <v>EXPIRED</v>
      </c>
      <c r="L57" s="74" t="str">
        <f t="shared" ca="1" si="96"/>
        <v>EXPIRED</v>
      </c>
      <c r="M57" s="5" t="str">
        <f t="shared" ca="1" si="97"/>
        <v>EXPIRED</v>
      </c>
      <c r="N57" s="5" t="str">
        <f ca="1">IF(Message&lt;&gt;"",Message,MAX(MIN(Target401K*C57,SUM(Income!D56:J56),W57+K57),-I56)+IF(W57+K57&lt;0,-M57,0))</f>
        <v>EXPIRED</v>
      </c>
      <c r="O57" s="66"/>
      <c r="P57" s="71" t="str">
        <f t="shared" ca="1" si="98"/>
        <v>EXPIRED</v>
      </c>
      <c r="Q57" s="71" t="str">
        <f t="shared" ca="1" si="99"/>
        <v>EXPIRED</v>
      </c>
      <c r="R57" s="66"/>
      <c r="S57" s="9" t="str">
        <f t="shared" ca="1" si="100"/>
        <v>EXPIRED</v>
      </c>
      <c r="T57" s="9" t="str">
        <f t="shared" ca="1" si="84"/>
        <v>EXPIRED</v>
      </c>
      <c r="U57" s="9">
        <f ca="1">+Taxes!L62</f>
        <v>0</v>
      </c>
      <c r="V57" s="9" t="str">
        <f t="shared" ca="1" si="101"/>
        <v>EXPIRED</v>
      </c>
      <c r="W57" s="9" t="e">
        <f t="shared" ca="1" si="85"/>
        <v>#VALUE!</v>
      </c>
      <c r="X57" s="66"/>
      <c r="Y57" s="9" t="str">
        <f t="shared" ca="1" si="102"/>
        <v>EXPIRED</v>
      </c>
      <c r="Z57" s="9" t="str">
        <f t="shared" ca="1" si="103"/>
        <v>--</v>
      </c>
      <c r="AA57" s="9" t="str">
        <f t="shared" ca="1" si="104"/>
        <v>EXPIRED</v>
      </c>
      <c r="AB57" s="9" t="str">
        <f t="shared" ca="1" si="105"/>
        <v>--</v>
      </c>
      <c r="AC57" s="9" t="str">
        <f t="shared" ca="1" si="106"/>
        <v>EXPIRED</v>
      </c>
      <c r="AD57" s="9" t="str">
        <f t="shared" ca="1" si="107"/>
        <v>--</v>
      </c>
      <c r="AE57" s="9" t="str">
        <f t="shared" ca="1" si="87"/>
        <v>EXPIRED</v>
      </c>
      <c r="AF57" s="66"/>
      <c r="AG57" s="9" t="str">
        <f t="shared" ca="1" si="66"/>
        <v>EXPIRED</v>
      </c>
      <c r="AH57" s="9" t="str">
        <f t="shared" ca="1" si="67"/>
        <v>--</v>
      </c>
      <c r="AI57" s="9" t="str">
        <f t="shared" ca="1" si="68"/>
        <v>EXPIRED</v>
      </c>
      <c r="AJ57" s="9" t="str">
        <f t="shared" ca="1" si="69"/>
        <v>--</v>
      </c>
      <c r="AK57" s="9" t="str">
        <f t="shared" ca="1" si="70"/>
        <v>EXPIRED</v>
      </c>
      <c r="AL57" s="9" t="str">
        <f t="shared" ca="1" si="71"/>
        <v>--</v>
      </c>
      <c r="AM57" s="9" t="str">
        <f t="shared" ca="1" si="88"/>
        <v>EXPIRED</v>
      </c>
      <c r="AN57" s="66"/>
      <c r="AO57" s="9" t="str">
        <f t="shared" ca="1" si="72"/>
        <v>EXPIRED</v>
      </c>
      <c r="AP57" s="9" t="str">
        <f t="shared" ca="1" si="73"/>
        <v>--</v>
      </c>
      <c r="AQ57" s="9" t="str">
        <f t="shared" ca="1" si="74"/>
        <v>EXPIRED</v>
      </c>
      <c r="AR57" s="9" t="str">
        <f t="shared" ca="1" si="75"/>
        <v>--</v>
      </c>
      <c r="AS57" s="9" t="str">
        <f t="shared" ca="1" si="76"/>
        <v>EXPIRED</v>
      </c>
      <c r="AT57" s="9" t="str">
        <f t="shared" ca="1" si="77"/>
        <v>--</v>
      </c>
      <c r="AU57" s="9" t="str">
        <f t="shared" ca="1" si="89"/>
        <v>EXPIRED</v>
      </c>
      <c r="AV57" s="66"/>
      <c r="AW57" s="9" t="str">
        <f t="shared" ca="1" si="78"/>
        <v>EXPIRED</v>
      </c>
      <c r="AX57" s="9" t="str">
        <f t="shared" ca="1" si="79"/>
        <v>--</v>
      </c>
      <c r="AY57" s="9" t="str">
        <f t="shared" ca="1" si="80"/>
        <v>EXPIRED</v>
      </c>
      <c r="AZ57" s="9" t="str">
        <f t="shared" ca="1" si="81"/>
        <v>--</v>
      </c>
      <c r="BA57" s="9" t="str">
        <f t="shared" ca="1" si="82"/>
        <v>EXPIRED</v>
      </c>
      <c r="BB57" s="9" t="str">
        <f t="shared" ca="1" si="83"/>
        <v>--</v>
      </c>
      <c r="BC57" s="9" t="str">
        <f t="shared" ca="1" si="90"/>
        <v>EXPIRED</v>
      </c>
      <c r="BD57" s="66"/>
    </row>
    <row r="58" spans="1:56" ht="14.45" x14ac:dyDescent="0.3">
      <c r="A58" s="14">
        <f t="shared" si="91"/>
        <v>47</v>
      </c>
      <c r="B58" s="14">
        <f t="shared" si="91"/>
        <v>87</v>
      </c>
      <c r="C58" s="38">
        <f t="shared" si="4"/>
        <v>2.5363435151955169</v>
      </c>
      <c r="D58" s="66"/>
      <c r="E58" s="32" t="str">
        <f t="shared" ca="1" si="92"/>
        <v>EXPIRED</v>
      </c>
      <c r="F58" s="32" t="str">
        <f t="shared" ca="1" si="93"/>
        <v>--</v>
      </c>
      <c r="G58" s="32" t="str">
        <f t="shared" ca="1" si="94"/>
        <v>EXPIRED</v>
      </c>
      <c r="H58" s="32" t="str">
        <f ca="1">IF(Message&lt;&gt;"","--",I58*(1-IF(OR(Income!P57="NA",Income!P57=0),0.2,Income!P57)))</f>
        <v>--</v>
      </c>
      <c r="I58" s="32" t="str">
        <f t="shared" ca="1" si="95"/>
        <v>EXPIRED</v>
      </c>
      <c r="J58" s="66"/>
      <c r="K58" s="74" t="str">
        <f ca="1">IF(Message&lt;&gt;"",Message,Income!M57+Dashboard!I110+Dashboard!K110-Taxes!BR63)</f>
        <v>EXPIRED</v>
      </c>
      <c r="L58" s="74" t="str">
        <f t="shared" ca="1" si="96"/>
        <v>EXPIRED</v>
      </c>
      <c r="M58" s="5" t="str">
        <f t="shared" ca="1" si="97"/>
        <v>EXPIRED</v>
      </c>
      <c r="N58" s="5" t="str">
        <f ca="1">IF(Message&lt;&gt;"",Message,MAX(MIN(Target401K*C58,SUM(Income!D57:J57),W58+K58),-I57)+IF(W58+K58&lt;0,-M58,0))</f>
        <v>EXPIRED</v>
      </c>
      <c r="O58" s="66"/>
      <c r="P58" s="71" t="str">
        <f t="shared" ca="1" si="98"/>
        <v>EXPIRED</v>
      </c>
      <c r="Q58" s="71" t="str">
        <f t="shared" ca="1" si="99"/>
        <v>EXPIRED</v>
      </c>
      <c r="R58" s="66"/>
      <c r="S58" s="9" t="str">
        <f t="shared" ca="1" si="100"/>
        <v>EXPIRED</v>
      </c>
      <c r="T58" s="9" t="str">
        <f t="shared" ca="1" si="84"/>
        <v>EXPIRED</v>
      </c>
      <c r="U58" s="9">
        <f ca="1">+Taxes!L63</f>
        <v>0</v>
      </c>
      <c r="V58" s="9" t="str">
        <f t="shared" ca="1" si="101"/>
        <v>EXPIRED</v>
      </c>
      <c r="W58" s="9" t="e">
        <f t="shared" ca="1" si="85"/>
        <v>#VALUE!</v>
      </c>
      <c r="X58" s="66"/>
      <c r="Y58" s="9" t="str">
        <f t="shared" ca="1" si="102"/>
        <v>EXPIRED</v>
      </c>
      <c r="Z58" s="9" t="str">
        <f t="shared" ca="1" si="103"/>
        <v>--</v>
      </c>
      <c r="AA58" s="9" t="str">
        <f t="shared" ca="1" si="104"/>
        <v>EXPIRED</v>
      </c>
      <c r="AB58" s="9" t="str">
        <f t="shared" ca="1" si="105"/>
        <v>--</v>
      </c>
      <c r="AC58" s="9" t="str">
        <f t="shared" ca="1" si="106"/>
        <v>EXPIRED</v>
      </c>
      <c r="AD58" s="9" t="str">
        <f t="shared" ca="1" si="107"/>
        <v>--</v>
      </c>
      <c r="AE58" s="9" t="str">
        <f t="shared" ca="1" si="87"/>
        <v>EXPIRED</v>
      </c>
      <c r="AF58" s="66"/>
      <c r="AG58" s="9" t="str">
        <f t="shared" ca="1" si="66"/>
        <v>EXPIRED</v>
      </c>
      <c r="AH58" s="9" t="str">
        <f t="shared" ca="1" si="67"/>
        <v>--</v>
      </c>
      <c r="AI58" s="9" t="str">
        <f t="shared" ca="1" si="68"/>
        <v>EXPIRED</v>
      </c>
      <c r="AJ58" s="9" t="str">
        <f t="shared" ca="1" si="69"/>
        <v>--</v>
      </c>
      <c r="AK58" s="9" t="str">
        <f t="shared" ca="1" si="70"/>
        <v>EXPIRED</v>
      </c>
      <c r="AL58" s="9" t="str">
        <f t="shared" ca="1" si="71"/>
        <v>--</v>
      </c>
      <c r="AM58" s="9" t="str">
        <f t="shared" ca="1" si="88"/>
        <v>EXPIRED</v>
      </c>
      <c r="AN58" s="66"/>
      <c r="AO58" s="9" t="str">
        <f t="shared" ca="1" si="72"/>
        <v>EXPIRED</v>
      </c>
      <c r="AP58" s="9" t="str">
        <f t="shared" ca="1" si="73"/>
        <v>--</v>
      </c>
      <c r="AQ58" s="9" t="str">
        <f t="shared" ca="1" si="74"/>
        <v>EXPIRED</v>
      </c>
      <c r="AR58" s="9" t="str">
        <f t="shared" ca="1" si="75"/>
        <v>--</v>
      </c>
      <c r="AS58" s="9" t="str">
        <f t="shared" ca="1" si="76"/>
        <v>EXPIRED</v>
      </c>
      <c r="AT58" s="9" t="str">
        <f t="shared" ca="1" si="77"/>
        <v>--</v>
      </c>
      <c r="AU58" s="9" t="str">
        <f t="shared" ca="1" si="89"/>
        <v>EXPIRED</v>
      </c>
      <c r="AV58" s="66"/>
      <c r="AW58" s="9" t="str">
        <f t="shared" ca="1" si="78"/>
        <v>EXPIRED</v>
      </c>
      <c r="AX58" s="9" t="str">
        <f t="shared" ca="1" si="79"/>
        <v>--</v>
      </c>
      <c r="AY58" s="9" t="str">
        <f t="shared" ca="1" si="80"/>
        <v>EXPIRED</v>
      </c>
      <c r="AZ58" s="9" t="str">
        <f t="shared" ca="1" si="81"/>
        <v>--</v>
      </c>
      <c r="BA58" s="9" t="str">
        <f t="shared" ca="1" si="82"/>
        <v>EXPIRED</v>
      </c>
      <c r="BB58" s="9" t="str">
        <f t="shared" ca="1" si="83"/>
        <v>--</v>
      </c>
      <c r="BC58" s="9" t="str">
        <f t="shared" ca="1" si="90"/>
        <v>EXPIRED</v>
      </c>
      <c r="BD58" s="66"/>
    </row>
    <row r="59" spans="1:56" ht="14.45" x14ac:dyDescent="0.3">
      <c r="A59" s="14">
        <f t="shared" si="91"/>
        <v>48</v>
      </c>
      <c r="B59" s="14">
        <f t="shared" si="91"/>
        <v>88</v>
      </c>
      <c r="C59" s="38">
        <f t="shared" si="4"/>
        <v>2.5870703854994277</v>
      </c>
      <c r="D59" s="66"/>
      <c r="E59" s="32" t="str">
        <f t="shared" ca="1" si="92"/>
        <v>EXPIRED</v>
      </c>
      <c r="F59" s="32" t="str">
        <f t="shared" ca="1" si="93"/>
        <v>--</v>
      </c>
      <c r="G59" s="32" t="str">
        <f t="shared" ca="1" si="94"/>
        <v>EXPIRED</v>
      </c>
      <c r="H59" s="32" t="str">
        <f ca="1">IF(Message&lt;&gt;"","--",I59*(1-IF(OR(Income!P58="NA",Income!P58=0),0.2,Income!P58)))</f>
        <v>--</v>
      </c>
      <c r="I59" s="32" t="str">
        <f t="shared" ca="1" si="95"/>
        <v>EXPIRED</v>
      </c>
      <c r="J59" s="66"/>
      <c r="K59" s="74" t="str">
        <f ca="1">IF(Message&lt;&gt;"",Message,Income!M58+Dashboard!I111+Dashboard!K111-Taxes!BR64)</f>
        <v>EXPIRED</v>
      </c>
      <c r="L59" s="74" t="str">
        <f t="shared" ca="1" si="96"/>
        <v>EXPIRED</v>
      </c>
      <c r="M59" s="5" t="str">
        <f t="shared" ca="1" si="97"/>
        <v>EXPIRED</v>
      </c>
      <c r="N59" s="5" t="str">
        <f ca="1">IF(Message&lt;&gt;"",Message,MAX(MIN(Target401K*C59,SUM(Income!D58:J58),W59+K59),-I58)+IF(W59+K59&lt;0,-M59,0))</f>
        <v>EXPIRED</v>
      </c>
      <c r="O59" s="66"/>
      <c r="P59" s="71" t="str">
        <f t="shared" ca="1" si="98"/>
        <v>EXPIRED</v>
      </c>
      <c r="Q59" s="71" t="str">
        <f t="shared" ca="1" si="99"/>
        <v>EXPIRED</v>
      </c>
      <c r="R59" s="66"/>
      <c r="S59" s="9" t="str">
        <f t="shared" ca="1" si="100"/>
        <v>EXPIRED</v>
      </c>
      <c r="T59" s="9" t="str">
        <f t="shared" ca="1" si="84"/>
        <v>EXPIRED</v>
      </c>
      <c r="U59" s="9">
        <f ca="1">+Taxes!L64</f>
        <v>0</v>
      </c>
      <c r="V59" s="9" t="str">
        <f t="shared" ca="1" si="101"/>
        <v>EXPIRED</v>
      </c>
      <c r="W59" s="9" t="e">
        <f t="shared" ca="1" si="85"/>
        <v>#VALUE!</v>
      </c>
      <c r="X59" s="66"/>
      <c r="Y59" s="9" t="str">
        <f t="shared" ca="1" si="102"/>
        <v>EXPIRED</v>
      </c>
      <c r="Z59" s="9" t="str">
        <f t="shared" ca="1" si="103"/>
        <v>--</v>
      </c>
      <c r="AA59" s="9" t="str">
        <f t="shared" ca="1" si="104"/>
        <v>EXPIRED</v>
      </c>
      <c r="AB59" s="9" t="str">
        <f t="shared" ca="1" si="105"/>
        <v>--</v>
      </c>
      <c r="AC59" s="9" t="str">
        <f t="shared" ca="1" si="106"/>
        <v>EXPIRED</v>
      </c>
      <c r="AD59" s="9" t="str">
        <f t="shared" ca="1" si="107"/>
        <v>--</v>
      </c>
      <c r="AE59" s="9" t="str">
        <f t="shared" ca="1" si="87"/>
        <v>EXPIRED</v>
      </c>
      <c r="AF59" s="66"/>
      <c r="AG59" s="9" t="str">
        <f t="shared" ca="1" si="66"/>
        <v>EXPIRED</v>
      </c>
      <c r="AH59" s="9" t="str">
        <f t="shared" ca="1" si="67"/>
        <v>--</v>
      </c>
      <c r="AI59" s="9" t="str">
        <f t="shared" ca="1" si="68"/>
        <v>EXPIRED</v>
      </c>
      <c r="AJ59" s="9" t="str">
        <f t="shared" ca="1" si="69"/>
        <v>--</v>
      </c>
      <c r="AK59" s="9" t="str">
        <f t="shared" ca="1" si="70"/>
        <v>EXPIRED</v>
      </c>
      <c r="AL59" s="9" t="str">
        <f t="shared" ca="1" si="71"/>
        <v>--</v>
      </c>
      <c r="AM59" s="9" t="str">
        <f t="shared" ca="1" si="88"/>
        <v>EXPIRED</v>
      </c>
      <c r="AN59" s="66"/>
      <c r="AO59" s="9" t="str">
        <f t="shared" ca="1" si="72"/>
        <v>EXPIRED</v>
      </c>
      <c r="AP59" s="9" t="str">
        <f t="shared" ca="1" si="73"/>
        <v>--</v>
      </c>
      <c r="AQ59" s="9" t="str">
        <f t="shared" ca="1" si="74"/>
        <v>EXPIRED</v>
      </c>
      <c r="AR59" s="9" t="str">
        <f t="shared" ca="1" si="75"/>
        <v>--</v>
      </c>
      <c r="AS59" s="9" t="str">
        <f t="shared" ca="1" si="76"/>
        <v>EXPIRED</v>
      </c>
      <c r="AT59" s="9" t="str">
        <f t="shared" ca="1" si="77"/>
        <v>--</v>
      </c>
      <c r="AU59" s="9" t="str">
        <f t="shared" ca="1" si="89"/>
        <v>EXPIRED</v>
      </c>
      <c r="AV59" s="66"/>
      <c r="AW59" s="9" t="str">
        <f t="shared" ca="1" si="78"/>
        <v>EXPIRED</v>
      </c>
      <c r="AX59" s="9" t="str">
        <f t="shared" ca="1" si="79"/>
        <v>--</v>
      </c>
      <c r="AY59" s="9" t="str">
        <f t="shared" ca="1" si="80"/>
        <v>EXPIRED</v>
      </c>
      <c r="AZ59" s="9" t="str">
        <f t="shared" ca="1" si="81"/>
        <v>--</v>
      </c>
      <c r="BA59" s="9" t="str">
        <f t="shared" ca="1" si="82"/>
        <v>EXPIRED</v>
      </c>
      <c r="BB59" s="9" t="str">
        <f t="shared" ca="1" si="83"/>
        <v>--</v>
      </c>
      <c r="BC59" s="9" t="str">
        <f t="shared" ca="1" si="90"/>
        <v>EXPIRED</v>
      </c>
      <c r="BD59" s="66"/>
    </row>
    <row r="60" spans="1:56" ht="14.45" x14ac:dyDescent="0.3">
      <c r="A60" s="14">
        <f t="shared" si="91"/>
        <v>49</v>
      </c>
      <c r="B60" s="14">
        <f t="shared" si="91"/>
        <v>89</v>
      </c>
      <c r="C60" s="38">
        <f t="shared" si="4"/>
        <v>2.6388117932094164</v>
      </c>
      <c r="D60" s="66"/>
      <c r="E60" s="32" t="str">
        <f t="shared" ca="1" si="92"/>
        <v>EXPIRED</v>
      </c>
      <c r="F60" s="32" t="str">
        <f t="shared" ca="1" si="93"/>
        <v>--</v>
      </c>
      <c r="G60" s="32" t="str">
        <f t="shared" ca="1" si="94"/>
        <v>EXPIRED</v>
      </c>
      <c r="H60" s="32" t="str">
        <f ca="1">IF(Message&lt;&gt;"","--",I60*(1-IF(OR(Income!P59="NA",Income!P59=0),0.2,Income!P59)))</f>
        <v>--</v>
      </c>
      <c r="I60" s="32" t="str">
        <f t="shared" ca="1" si="95"/>
        <v>EXPIRED</v>
      </c>
      <c r="J60" s="66"/>
      <c r="K60" s="74" t="str">
        <f ca="1">IF(Message&lt;&gt;"",Message,Income!M59+Dashboard!I112+Dashboard!K112-Taxes!BR65)</f>
        <v>EXPIRED</v>
      </c>
      <c r="L60" s="74" t="str">
        <f t="shared" ca="1" si="96"/>
        <v>EXPIRED</v>
      </c>
      <c r="M60" s="5" t="str">
        <f t="shared" ca="1" si="97"/>
        <v>EXPIRED</v>
      </c>
      <c r="N60" s="5" t="str">
        <f ca="1">IF(Message&lt;&gt;"",Message,MAX(MIN(Target401K*C60,SUM(Income!D59:J59),W60+K60),-I59)+IF(W60+K60&lt;0,-M60,0))</f>
        <v>EXPIRED</v>
      </c>
      <c r="O60" s="66"/>
      <c r="P60" s="71" t="str">
        <f t="shared" ca="1" si="98"/>
        <v>EXPIRED</v>
      </c>
      <c r="Q60" s="71" t="str">
        <f t="shared" ca="1" si="99"/>
        <v>EXPIRED</v>
      </c>
      <c r="R60" s="66"/>
      <c r="S60" s="9" t="str">
        <f t="shared" ca="1" si="100"/>
        <v>EXPIRED</v>
      </c>
      <c r="T60" s="9" t="str">
        <f t="shared" ca="1" si="84"/>
        <v>EXPIRED</v>
      </c>
      <c r="U60" s="9">
        <f ca="1">+Taxes!L65</f>
        <v>0</v>
      </c>
      <c r="V60" s="9" t="str">
        <f t="shared" ca="1" si="101"/>
        <v>EXPIRED</v>
      </c>
      <c r="W60" s="9" t="e">
        <f t="shared" ca="1" si="85"/>
        <v>#VALUE!</v>
      </c>
      <c r="X60" s="66"/>
      <c r="Y60" s="9" t="str">
        <f t="shared" ca="1" si="102"/>
        <v>EXPIRED</v>
      </c>
      <c r="Z60" s="9" t="str">
        <f t="shared" ca="1" si="103"/>
        <v>--</v>
      </c>
      <c r="AA60" s="9" t="str">
        <f t="shared" ca="1" si="104"/>
        <v>EXPIRED</v>
      </c>
      <c r="AB60" s="9" t="str">
        <f t="shared" ca="1" si="105"/>
        <v>--</v>
      </c>
      <c r="AC60" s="9" t="str">
        <f t="shared" ca="1" si="106"/>
        <v>EXPIRED</v>
      </c>
      <c r="AD60" s="9" t="str">
        <f t="shared" ca="1" si="107"/>
        <v>--</v>
      </c>
      <c r="AE60" s="9" t="str">
        <f t="shared" ca="1" si="87"/>
        <v>EXPIRED</v>
      </c>
      <c r="AF60" s="66"/>
      <c r="AG60" s="9" t="str">
        <f t="shared" ca="1" si="66"/>
        <v>EXPIRED</v>
      </c>
      <c r="AH60" s="9" t="str">
        <f t="shared" ca="1" si="67"/>
        <v>--</v>
      </c>
      <c r="AI60" s="9" t="str">
        <f t="shared" ca="1" si="68"/>
        <v>EXPIRED</v>
      </c>
      <c r="AJ60" s="9" t="str">
        <f t="shared" ca="1" si="69"/>
        <v>--</v>
      </c>
      <c r="AK60" s="9" t="str">
        <f t="shared" ca="1" si="70"/>
        <v>EXPIRED</v>
      </c>
      <c r="AL60" s="9" t="str">
        <f t="shared" ca="1" si="71"/>
        <v>--</v>
      </c>
      <c r="AM60" s="9" t="str">
        <f t="shared" ca="1" si="88"/>
        <v>EXPIRED</v>
      </c>
      <c r="AN60" s="66"/>
      <c r="AO60" s="9" t="str">
        <f t="shared" ca="1" si="72"/>
        <v>EXPIRED</v>
      </c>
      <c r="AP60" s="9" t="str">
        <f t="shared" ca="1" si="73"/>
        <v>--</v>
      </c>
      <c r="AQ60" s="9" t="str">
        <f t="shared" ca="1" si="74"/>
        <v>EXPIRED</v>
      </c>
      <c r="AR60" s="9" t="str">
        <f t="shared" ca="1" si="75"/>
        <v>--</v>
      </c>
      <c r="AS60" s="9" t="str">
        <f t="shared" ca="1" si="76"/>
        <v>EXPIRED</v>
      </c>
      <c r="AT60" s="9" t="str">
        <f t="shared" ca="1" si="77"/>
        <v>--</v>
      </c>
      <c r="AU60" s="9" t="str">
        <f t="shared" ca="1" si="89"/>
        <v>EXPIRED</v>
      </c>
      <c r="AV60" s="66"/>
      <c r="AW60" s="9" t="str">
        <f t="shared" ca="1" si="78"/>
        <v>EXPIRED</v>
      </c>
      <c r="AX60" s="9" t="str">
        <f t="shared" ca="1" si="79"/>
        <v>--</v>
      </c>
      <c r="AY60" s="9" t="str">
        <f t="shared" ca="1" si="80"/>
        <v>EXPIRED</v>
      </c>
      <c r="AZ60" s="9" t="str">
        <f t="shared" ca="1" si="81"/>
        <v>--</v>
      </c>
      <c r="BA60" s="9" t="str">
        <f t="shared" ca="1" si="82"/>
        <v>EXPIRED</v>
      </c>
      <c r="BB60" s="9" t="str">
        <f t="shared" ca="1" si="83"/>
        <v>--</v>
      </c>
      <c r="BC60" s="9" t="str">
        <f t="shared" ca="1" si="90"/>
        <v>EXPIRED</v>
      </c>
      <c r="BD60" s="66"/>
    </row>
    <row r="61" spans="1:56" ht="14.45" x14ac:dyDescent="0.3">
      <c r="A61" s="14">
        <f t="shared" ref="A61:B76" si="108">+A60+1</f>
        <v>50</v>
      </c>
      <c r="B61" s="14">
        <f t="shared" si="108"/>
        <v>90</v>
      </c>
      <c r="C61" s="38">
        <f t="shared" si="4"/>
        <v>2.6915880290736047</v>
      </c>
      <c r="D61" s="66"/>
      <c r="E61" s="32" t="str">
        <f t="shared" ca="1" si="92"/>
        <v>EXPIRED</v>
      </c>
      <c r="F61" s="32" t="str">
        <f t="shared" ca="1" si="93"/>
        <v>--</v>
      </c>
      <c r="G61" s="32" t="str">
        <f t="shared" ca="1" si="94"/>
        <v>EXPIRED</v>
      </c>
      <c r="H61" s="32" t="str">
        <f ca="1">IF(Message&lt;&gt;"","--",I61*(1-IF(OR(Income!P60="NA",Income!P60=0),0.2,Income!P60)))</f>
        <v>--</v>
      </c>
      <c r="I61" s="32" t="str">
        <f t="shared" ca="1" si="95"/>
        <v>EXPIRED</v>
      </c>
      <c r="J61" s="66"/>
      <c r="K61" s="74" t="str">
        <f ca="1">IF(Message&lt;&gt;"",Message,Income!M60+Dashboard!I113+Dashboard!K113-Taxes!BR66)</f>
        <v>EXPIRED</v>
      </c>
      <c r="L61" s="74" t="str">
        <f t="shared" ca="1" si="96"/>
        <v>EXPIRED</v>
      </c>
      <c r="M61" s="5" t="str">
        <f t="shared" ca="1" si="97"/>
        <v>EXPIRED</v>
      </c>
      <c r="N61" s="5" t="str">
        <f ca="1">IF(Message&lt;&gt;"",Message,MAX(MIN(Target401K*C61,SUM(Income!D60:J60),W61+K61),-I60)+IF(W61+K61&lt;0,-M61,0))</f>
        <v>EXPIRED</v>
      </c>
      <c r="O61" s="66"/>
      <c r="P61" s="71" t="str">
        <f t="shared" ca="1" si="98"/>
        <v>EXPIRED</v>
      </c>
      <c r="Q61" s="71" t="str">
        <f t="shared" ca="1" si="99"/>
        <v>EXPIRED</v>
      </c>
      <c r="R61" s="66"/>
      <c r="S61" s="9" t="str">
        <f t="shared" ca="1" si="100"/>
        <v>EXPIRED</v>
      </c>
      <c r="T61" s="9" t="str">
        <f t="shared" ca="1" si="84"/>
        <v>EXPIRED</v>
      </c>
      <c r="U61" s="9">
        <f ca="1">+Taxes!L66</f>
        <v>0</v>
      </c>
      <c r="V61" s="9" t="str">
        <f t="shared" ca="1" si="101"/>
        <v>EXPIRED</v>
      </c>
      <c r="W61" s="9" t="e">
        <f t="shared" ca="1" si="85"/>
        <v>#VALUE!</v>
      </c>
      <c r="X61" s="66"/>
      <c r="Y61" s="9" t="str">
        <f t="shared" ca="1" si="102"/>
        <v>EXPIRED</v>
      </c>
      <c r="Z61" s="9" t="str">
        <f t="shared" ca="1" si="103"/>
        <v>--</v>
      </c>
      <c r="AA61" s="9" t="str">
        <f t="shared" ca="1" si="104"/>
        <v>EXPIRED</v>
      </c>
      <c r="AB61" s="9" t="str">
        <f t="shared" ca="1" si="105"/>
        <v>--</v>
      </c>
      <c r="AC61" s="9" t="str">
        <f t="shared" ca="1" si="106"/>
        <v>EXPIRED</v>
      </c>
      <c r="AD61" s="9" t="str">
        <f t="shared" ca="1" si="107"/>
        <v>--</v>
      </c>
      <c r="AE61" s="9" t="str">
        <f t="shared" ca="1" si="87"/>
        <v>EXPIRED</v>
      </c>
      <c r="AF61" s="66"/>
      <c r="AG61" s="9" t="str">
        <f t="shared" ca="1" si="66"/>
        <v>EXPIRED</v>
      </c>
      <c r="AH61" s="9" t="str">
        <f t="shared" ca="1" si="67"/>
        <v>--</v>
      </c>
      <c r="AI61" s="9" t="str">
        <f t="shared" ca="1" si="68"/>
        <v>EXPIRED</v>
      </c>
      <c r="AJ61" s="9" t="str">
        <f t="shared" ca="1" si="69"/>
        <v>--</v>
      </c>
      <c r="AK61" s="9" t="str">
        <f t="shared" ca="1" si="70"/>
        <v>EXPIRED</v>
      </c>
      <c r="AL61" s="9" t="str">
        <f t="shared" ca="1" si="71"/>
        <v>--</v>
      </c>
      <c r="AM61" s="9" t="str">
        <f t="shared" ca="1" si="88"/>
        <v>EXPIRED</v>
      </c>
      <c r="AN61" s="66"/>
      <c r="AO61" s="9" t="str">
        <f t="shared" ca="1" si="72"/>
        <v>EXPIRED</v>
      </c>
      <c r="AP61" s="9" t="str">
        <f t="shared" ca="1" si="73"/>
        <v>--</v>
      </c>
      <c r="AQ61" s="9" t="str">
        <f t="shared" ca="1" si="74"/>
        <v>EXPIRED</v>
      </c>
      <c r="AR61" s="9" t="str">
        <f t="shared" ca="1" si="75"/>
        <v>--</v>
      </c>
      <c r="AS61" s="9" t="str">
        <f t="shared" ca="1" si="76"/>
        <v>EXPIRED</v>
      </c>
      <c r="AT61" s="9" t="str">
        <f t="shared" ca="1" si="77"/>
        <v>--</v>
      </c>
      <c r="AU61" s="9" t="str">
        <f t="shared" ca="1" si="89"/>
        <v>EXPIRED</v>
      </c>
      <c r="AV61" s="66"/>
      <c r="AW61" s="9" t="str">
        <f t="shared" ca="1" si="78"/>
        <v>EXPIRED</v>
      </c>
      <c r="AX61" s="9" t="str">
        <f t="shared" ca="1" si="79"/>
        <v>--</v>
      </c>
      <c r="AY61" s="9" t="str">
        <f t="shared" ca="1" si="80"/>
        <v>EXPIRED</v>
      </c>
      <c r="AZ61" s="9" t="str">
        <f t="shared" ca="1" si="81"/>
        <v>--</v>
      </c>
      <c r="BA61" s="9" t="str">
        <f t="shared" ca="1" si="82"/>
        <v>EXPIRED</v>
      </c>
      <c r="BB61" s="9" t="str">
        <f t="shared" ca="1" si="83"/>
        <v>--</v>
      </c>
      <c r="BC61" s="9" t="str">
        <f t="shared" ca="1" si="90"/>
        <v>EXPIRED</v>
      </c>
      <c r="BD61" s="66"/>
    </row>
    <row r="62" spans="1:56" ht="14.45" x14ac:dyDescent="0.3">
      <c r="A62" s="14">
        <f t="shared" si="108"/>
        <v>51</v>
      </c>
      <c r="B62" s="14">
        <f t="shared" si="108"/>
        <v>91</v>
      </c>
      <c r="C62" s="38">
        <f t="shared" si="4"/>
        <v>2.7454197896550765</v>
      </c>
      <c r="D62" s="66"/>
      <c r="E62" s="32" t="str">
        <f t="shared" ca="1" si="92"/>
        <v>EXPIRED</v>
      </c>
      <c r="F62" s="32" t="str">
        <f t="shared" ca="1" si="93"/>
        <v>--</v>
      </c>
      <c r="G62" s="32" t="str">
        <f t="shared" ca="1" si="94"/>
        <v>EXPIRED</v>
      </c>
      <c r="H62" s="32" t="str">
        <f ca="1">IF(Message&lt;&gt;"","--",I62*(1-IF(OR(Income!P61="NA",Income!P61=0),0.2,Income!P61)))</f>
        <v>--</v>
      </c>
      <c r="I62" s="32" t="str">
        <f t="shared" ca="1" si="95"/>
        <v>EXPIRED</v>
      </c>
      <c r="J62" s="66"/>
      <c r="K62" s="74" t="str">
        <f ca="1">IF(Message&lt;&gt;"",Message,Income!M61+Dashboard!I114+Dashboard!K114-Taxes!BR67)</f>
        <v>EXPIRED</v>
      </c>
      <c r="L62" s="74" t="str">
        <f t="shared" ca="1" si="96"/>
        <v>EXPIRED</v>
      </c>
      <c r="M62" s="5" t="str">
        <f t="shared" ca="1" si="97"/>
        <v>EXPIRED</v>
      </c>
      <c r="N62" s="5" t="str">
        <f ca="1">IF(Message&lt;&gt;"",Message,MAX(MIN(Target401K*C62,SUM(Income!D61:J61),W62+K62),-I61)+IF(W62+K62&lt;0,-M62,0))</f>
        <v>EXPIRED</v>
      </c>
      <c r="O62" s="66"/>
      <c r="P62" s="71" t="str">
        <f t="shared" ca="1" si="98"/>
        <v>EXPIRED</v>
      </c>
      <c r="Q62" s="71" t="str">
        <f t="shared" ca="1" si="99"/>
        <v>EXPIRED</v>
      </c>
      <c r="R62" s="66"/>
      <c r="S62" s="9" t="str">
        <f t="shared" ca="1" si="100"/>
        <v>EXPIRED</v>
      </c>
      <c r="T62" s="9" t="str">
        <f t="shared" ca="1" si="84"/>
        <v>EXPIRED</v>
      </c>
      <c r="U62" s="9">
        <f ca="1">+Taxes!L67</f>
        <v>0</v>
      </c>
      <c r="V62" s="9" t="str">
        <f t="shared" ca="1" si="101"/>
        <v>EXPIRED</v>
      </c>
      <c r="W62" s="9" t="e">
        <f t="shared" ca="1" si="85"/>
        <v>#VALUE!</v>
      </c>
      <c r="X62" s="66"/>
      <c r="Y62" s="9" t="str">
        <f t="shared" ca="1" si="102"/>
        <v>EXPIRED</v>
      </c>
      <c r="Z62" s="9" t="str">
        <f t="shared" ca="1" si="103"/>
        <v>--</v>
      </c>
      <c r="AA62" s="9" t="str">
        <f t="shared" ca="1" si="104"/>
        <v>EXPIRED</v>
      </c>
      <c r="AB62" s="9" t="str">
        <f t="shared" ca="1" si="105"/>
        <v>--</v>
      </c>
      <c r="AC62" s="9" t="str">
        <f t="shared" ca="1" si="106"/>
        <v>EXPIRED</v>
      </c>
      <c r="AD62" s="9" t="str">
        <f t="shared" ca="1" si="107"/>
        <v>--</v>
      </c>
      <c r="AE62" s="9" t="str">
        <f t="shared" ca="1" si="87"/>
        <v>EXPIRED</v>
      </c>
      <c r="AF62" s="66"/>
      <c r="AG62" s="9" t="str">
        <f t="shared" ca="1" si="66"/>
        <v>EXPIRED</v>
      </c>
      <c r="AH62" s="9" t="str">
        <f t="shared" ca="1" si="67"/>
        <v>--</v>
      </c>
      <c r="AI62" s="9" t="str">
        <f t="shared" ca="1" si="68"/>
        <v>EXPIRED</v>
      </c>
      <c r="AJ62" s="9" t="str">
        <f t="shared" ca="1" si="69"/>
        <v>--</v>
      </c>
      <c r="AK62" s="9" t="str">
        <f t="shared" ca="1" si="70"/>
        <v>EXPIRED</v>
      </c>
      <c r="AL62" s="9" t="str">
        <f t="shared" ca="1" si="71"/>
        <v>--</v>
      </c>
      <c r="AM62" s="9" t="str">
        <f t="shared" ca="1" si="88"/>
        <v>EXPIRED</v>
      </c>
      <c r="AN62" s="66"/>
      <c r="AO62" s="9" t="str">
        <f t="shared" ca="1" si="72"/>
        <v>EXPIRED</v>
      </c>
      <c r="AP62" s="9" t="str">
        <f t="shared" ca="1" si="73"/>
        <v>--</v>
      </c>
      <c r="AQ62" s="9" t="str">
        <f t="shared" ca="1" si="74"/>
        <v>EXPIRED</v>
      </c>
      <c r="AR62" s="9" t="str">
        <f t="shared" ca="1" si="75"/>
        <v>--</v>
      </c>
      <c r="AS62" s="9" t="str">
        <f t="shared" ca="1" si="76"/>
        <v>EXPIRED</v>
      </c>
      <c r="AT62" s="9" t="str">
        <f t="shared" ca="1" si="77"/>
        <v>--</v>
      </c>
      <c r="AU62" s="9" t="str">
        <f t="shared" ca="1" si="89"/>
        <v>EXPIRED</v>
      </c>
      <c r="AV62" s="66"/>
      <c r="AW62" s="9" t="str">
        <f t="shared" ca="1" si="78"/>
        <v>EXPIRED</v>
      </c>
      <c r="AX62" s="9" t="str">
        <f t="shared" ca="1" si="79"/>
        <v>--</v>
      </c>
      <c r="AY62" s="9" t="str">
        <f t="shared" ca="1" si="80"/>
        <v>EXPIRED</v>
      </c>
      <c r="AZ62" s="9" t="str">
        <f t="shared" ca="1" si="81"/>
        <v>--</v>
      </c>
      <c r="BA62" s="9" t="str">
        <f t="shared" ca="1" si="82"/>
        <v>EXPIRED</v>
      </c>
      <c r="BB62" s="9" t="str">
        <f t="shared" ca="1" si="83"/>
        <v>--</v>
      </c>
      <c r="BC62" s="9" t="str">
        <f t="shared" ca="1" si="90"/>
        <v>EXPIRED</v>
      </c>
      <c r="BD62" s="66"/>
    </row>
    <row r="63" spans="1:56" ht="14.45" x14ac:dyDescent="0.3">
      <c r="A63" s="14">
        <f t="shared" si="108"/>
        <v>52</v>
      </c>
      <c r="B63" s="14">
        <f t="shared" si="108"/>
        <v>92</v>
      </c>
      <c r="C63" s="38">
        <f t="shared" si="4"/>
        <v>2.8003281854481785</v>
      </c>
      <c r="D63" s="66"/>
      <c r="E63" s="32" t="str">
        <f t="shared" ca="1" si="92"/>
        <v>EXPIRED</v>
      </c>
      <c r="F63" s="32" t="str">
        <f t="shared" ca="1" si="93"/>
        <v>--</v>
      </c>
      <c r="G63" s="32" t="str">
        <f t="shared" ca="1" si="94"/>
        <v>EXPIRED</v>
      </c>
      <c r="H63" s="32" t="str">
        <f ca="1">IF(Message&lt;&gt;"","--",I63*(1-IF(OR(Income!P62="NA",Income!P62=0),0.2,Income!P62)))</f>
        <v>--</v>
      </c>
      <c r="I63" s="32" t="str">
        <f t="shared" ca="1" si="95"/>
        <v>EXPIRED</v>
      </c>
      <c r="J63" s="66"/>
      <c r="K63" s="74" t="str">
        <f ca="1">IF(Message&lt;&gt;"",Message,Income!M62+Dashboard!I115+Dashboard!K115-Taxes!BR68)</f>
        <v>EXPIRED</v>
      </c>
      <c r="L63" s="74" t="str">
        <f t="shared" ca="1" si="96"/>
        <v>EXPIRED</v>
      </c>
      <c r="M63" s="5" t="str">
        <f t="shared" ca="1" si="97"/>
        <v>EXPIRED</v>
      </c>
      <c r="N63" s="5" t="str">
        <f ca="1">IF(Message&lt;&gt;"",Message,MAX(MIN(Target401K*C63,SUM(Income!D62:J62),W63+K63),-I62)+IF(W63+K63&lt;0,-M63,0))</f>
        <v>EXPIRED</v>
      </c>
      <c r="O63" s="66"/>
      <c r="P63" s="71" t="str">
        <f t="shared" ca="1" si="98"/>
        <v>EXPIRED</v>
      </c>
      <c r="Q63" s="71" t="str">
        <f t="shared" ca="1" si="99"/>
        <v>EXPIRED</v>
      </c>
      <c r="R63" s="66"/>
      <c r="S63" s="9" t="str">
        <f t="shared" ca="1" si="100"/>
        <v>EXPIRED</v>
      </c>
      <c r="T63" s="9" t="str">
        <f t="shared" ca="1" si="84"/>
        <v>EXPIRED</v>
      </c>
      <c r="U63" s="9">
        <f ca="1">+Taxes!L68</f>
        <v>0</v>
      </c>
      <c r="V63" s="9" t="str">
        <f t="shared" ca="1" si="101"/>
        <v>EXPIRED</v>
      </c>
      <c r="W63" s="9" t="e">
        <f t="shared" ca="1" si="85"/>
        <v>#VALUE!</v>
      </c>
      <c r="X63" s="66"/>
      <c r="Y63" s="9" t="str">
        <f t="shared" ca="1" si="102"/>
        <v>EXPIRED</v>
      </c>
      <c r="Z63" s="9" t="str">
        <f t="shared" ca="1" si="103"/>
        <v>--</v>
      </c>
      <c r="AA63" s="9" t="str">
        <f t="shared" ca="1" si="104"/>
        <v>EXPIRED</v>
      </c>
      <c r="AB63" s="9" t="str">
        <f t="shared" ca="1" si="105"/>
        <v>--</v>
      </c>
      <c r="AC63" s="9" t="str">
        <f t="shared" ca="1" si="106"/>
        <v>EXPIRED</v>
      </c>
      <c r="AD63" s="9" t="str">
        <f t="shared" ca="1" si="107"/>
        <v>--</v>
      </c>
      <c r="AE63" s="9" t="str">
        <f t="shared" ca="1" si="87"/>
        <v>EXPIRED</v>
      </c>
      <c r="AF63" s="66"/>
      <c r="AG63" s="9" t="str">
        <f t="shared" ca="1" si="66"/>
        <v>EXPIRED</v>
      </c>
      <c r="AH63" s="9" t="str">
        <f t="shared" ca="1" si="67"/>
        <v>--</v>
      </c>
      <c r="AI63" s="9" t="str">
        <f t="shared" ca="1" si="68"/>
        <v>EXPIRED</v>
      </c>
      <c r="AJ63" s="9" t="str">
        <f t="shared" ca="1" si="69"/>
        <v>--</v>
      </c>
      <c r="AK63" s="9" t="str">
        <f t="shared" ca="1" si="70"/>
        <v>EXPIRED</v>
      </c>
      <c r="AL63" s="9" t="str">
        <f t="shared" ca="1" si="71"/>
        <v>--</v>
      </c>
      <c r="AM63" s="9" t="str">
        <f t="shared" ca="1" si="88"/>
        <v>EXPIRED</v>
      </c>
      <c r="AN63" s="66"/>
      <c r="AO63" s="9" t="str">
        <f t="shared" ca="1" si="72"/>
        <v>EXPIRED</v>
      </c>
      <c r="AP63" s="9" t="str">
        <f t="shared" ca="1" si="73"/>
        <v>--</v>
      </c>
      <c r="AQ63" s="9" t="str">
        <f t="shared" ca="1" si="74"/>
        <v>EXPIRED</v>
      </c>
      <c r="AR63" s="9" t="str">
        <f t="shared" ca="1" si="75"/>
        <v>--</v>
      </c>
      <c r="AS63" s="9" t="str">
        <f t="shared" ca="1" si="76"/>
        <v>EXPIRED</v>
      </c>
      <c r="AT63" s="9" t="str">
        <f t="shared" ca="1" si="77"/>
        <v>--</v>
      </c>
      <c r="AU63" s="9" t="str">
        <f t="shared" ca="1" si="89"/>
        <v>EXPIRED</v>
      </c>
      <c r="AV63" s="66"/>
      <c r="AW63" s="9" t="str">
        <f t="shared" ca="1" si="78"/>
        <v>EXPIRED</v>
      </c>
      <c r="AX63" s="9" t="str">
        <f t="shared" ca="1" si="79"/>
        <v>--</v>
      </c>
      <c r="AY63" s="9" t="str">
        <f t="shared" ca="1" si="80"/>
        <v>EXPIRED</v>
      </c>
      <c r="AZ63" s="9" t="str">
        <f t="shared" ca="1" si="81"/>
        <v>--</v>
      </c>
      <c r="BA63" s="9" t="str">
        <f t="shared" ca="1" si="82"/>
        <v>EXPIRED</v>
      </c>
      <c r="BB63" s="9" t="str">
        <f t="shared" ca="1" si="83"/>
        <v>--</v>
      </c>
      <c r="BC63" s="9" t="str">
        <f t="shared" ca="1" si="90"/>
        <v>EXPIRED</v>
      </c>
      <c r="BD63" s="66"/>
    </row>
    <row r="64" spans="1:56" x14ac:dyDescent="0.25">
      <c r="A64" s="14">
        <f t="shared" si="108"/>
        <v>53</v>
      </c>
      <c r="B64" s="14">
        <f t="shared" si="108"/>
        <v>93</v>
      </c>
      <c r="C64" s="38">
        <f t="shared" si="4"/>
        <v>2.8563347491571416</v>
      </c>
      <c r="D64" s="66"/>
      <c r="E64" s="32" t="str">
        <f t="shared" ca="1" si="92"/>
        <v>EXPIRED</v>
      </c>
      <c r="F64" s="32" t="str">
        <f t="shared" ca="1" si="93"/>
        <v>--</v>
      </c>
      <c r="G64" s="32" t="str">
        <f t="shared" ca="1" si="94"/>
        <v>EXPIRED</v>
      </c>
      <c r="H64" s="32" t="str">
        <f ca="1">IF(Message&lt;&gt;"","--",I64*(1-IF(OR(Income!P63="NA",Income!P63=0),0.2,Income!P63)))</f>
        <v>--</v>
      </c>
      <c r="I64" s="32" t="str">
        <f t="shared" ca="1" si="95"/>
        <v>EXPIRED</v>
      </c>
      <c r="J64" s="66"/>
      <c r="K64" s="74" t="str">
        <f ca="1">IF(Message&lt;&gt;"",Message,Income!M63+Dashboard!I116+Dashboard!K116-Taxes!BR69)</f>
        <v>EXPIRED</v>
      </c>
      <c r="L64" s="74" t="str">
        <f t="shared" ca="1" si="96"/>
        <v>EXPIRED</v>
      </c>
      <c r="M64" s="5" t="str">
        <f t="shared" ca="1" si="97"/>
        <v>EXPIRED</v>
      </c>
      <c r="N64" s="5" t="str">
        <f ca="1">IF(Message&lt;&gt;"",Message,MAX(MIN(Target401K*C64,SUM(Income!D63:J63),W64+K64),-I63)+IF(W64+K64&lt;0,-M64,0))</f>
        <v>EXPIRED</v>
      </c>
      <c r="O64" s="66"/>
      <c r="P64" s="71" t="str">
        <f t="shared" ca="1" si="98"/>
        <v>EXPIRED</v>
      </c>
      <c r="Q64" s="71" t="str">
        <f t="shared" ca="1" si="99"/>
        <v>EXPIRED</v>
      </c>
      <c r="R64" s="66"/>
      <c r="S64" s="9" t="str">
        <f t="shared" ca="1" si="100"/>
        <v>EXPIRED</v>
      </c>
      <c r="T64" s="9" t="str">
        <f t="shared" ca="1" si="84"/>
        <v>EXPIRED</v>
      </c>
      <c r="U64" s="9">
        <f ca="1">+Taxes!L69</f>
        <v>0</v>
      </c>
      <c r="V64" s="9" t="str">
        <f t="shared" ca="1" si="101"/>
        <v>EXPIRED</v>
      </c>
      <c r="W64" s="9" t="e">
        <f t="shared" ca="1" si="85"/>
        <v>#VALUE!</v>
      </c>
      <c r="X64" s="66"/>
      <c r="Y64" s="9" t="str">
        <f t="shared" ca="1" si="102"/>
        <v>EXPIRED</v>
      </c>
      <c r="Z64" s="9" t="str">
        <f t="shared" ca="1" si="103"/>
        <v>--</v>
      </c>
      <c r="AA64" s="9" t="str">
        <f t="shared" ca="1" si="104"/>
        <v>EXPIRED</v>
      </c>
      <c r="AB64" s="9" t="str">
        <f t="shared" ca="1" si="105"/>
        <v>--</v>
      </c>
      <c r="AC64" s="9" t="str">
        <f t="shared" ca="1" si="106"/>
        <v>EXPIRED</v>
      </c>
      <c r="AD64" s="9" t="str">
        <f t="shared" ca="1" si="107"/>
        <v>--</v>
      </c>
      <c r="AE64" s="9" t="str">
        <f t="shared" ca="1" si="87"/>
        <v>EXPIRED</v>
      </c>
      <c r="AF64" s="66"/>
      <c r="AG64" s="9" t="str">
        <f t="shared" ca="1" si="66"/>
        <v>EXPIRED</v>
      </c>
      <c r="AH64" s="9" t="str">
        <f t="shared" ca="1" si="67"/>
        <v>--</v>
      </c>
      <c r="AI64" s="9" t="str">
        <f t="shared" ca="1" si="68"/>
        <v>EXPIRED</v>
      </c>
      <c r="AJ64" s="9" t="str">
        <f t="shared" ca="1" si="69"/>
        <v>--</v>
      </c>
      <c r="AK64" s="9" t="str">
        <f t="shared" ca="1" si="70"/>
        <v>EXPIRED</v>
      </c>
      <c r="AL64" s="9" t="str">
        <f t="shared" ca="1" si="71"/>
        <v>--</v>
      </c>
      <c r="AM64" s="9" t="str">
        <f t="shared" ca="1" si="88"/>
        <v>EXPIRED</v>
      </c>
      <c r="AN64" s="66"/>
      <c r="AO64" s="9" t="str">
        <f t="shared" ca="1" si="72"/>
        <v>EXPIRED</v>
      </c>
      <c r="AP64" s="9" t="str">
        <f t="shared" ca="1" si="73"/>
        <v>--</v>
      </c>
      <c r="AQ64" s="9" t="str">
        <f t="shared" ca="1" si="74"/>
        <v>EXPIRED</v>
      </c>
      <c r="AR64" s="9" t="str">
        <f t="shared" ca="1" si="75"/>
        <v>--</v>
      </c>
      <c r="AS64" s="9" t="str">
        <f t="shared" ca="1" si="76"/>
        <v>EXPIRED</v>
      </c>
      <c r="AT64" s="9" t="str">
        <f t="shared" ca="1" si="77"/>
        <v>--</v>
      </c>
      <c r="AU64" s="9" t="str">
        <f t="shared" ca="1" si="89"/>
        <v>EXPIRED</v>
      </c>
      <c r="AV64" s="66"/>
      <c r="AW64" s="9" t="str">
        <f t="shared" ca="1" si="78"/>
        <v>EXPIRED</v>
      </c>
      <c r="AX64" s="9" t="str">
        <f t="shared" ca="1" si="79"/>
        <v>--</v>
      </c>
      <c r="AY64" s="9" t="str">
        <f t="shared" ca="1" si="80"/>
        <v>EXPIRED</v>
      </c>
      <c r="AZ64" s="9" t="str">
        <f t="shared" ca="1" si="81"/>
        <v>--</v>
      </c>
      <c r="BA64" s="9" t="str">
        <f t="shared" ca="1" si="82"/>
        <v>EXPIRED</v>
      </c>
      <c r="BB64" s="9" t="str">
        <f t="shared" ca="1" si="83"/>
        <v>--</v>
      </c>
      <c r="BC64" s="9" t="str">
        <f t="shared" ca="1" si="90"/>
        <v>EXPIRED</v>
      </c>
      <c r="BD64" s="66"/>
    </row>
    <row r="65" spans="1:56" x14ac:dyDescent="0.25">
      <c r="A65" s="14">
        <f t="shared" si="108"/>
        <v>54</v>
      </c>
      <c r="B65" s="14">
        <f t="shared" si="108"/>
        <v>94</v>
      </c>
      <c r="C65" s="38">
        <f t="shared" si="4"/>
        <v>2.9134614441402849</v>
      </c>
      <c r="D65" s="66"/>
      <c r="E65" s="32" t="str">
        <f t="shared" ca="1" si="92"/>
        <v>EXPIRED</v>
      </c>
      <c r="F65" s="32" t="str">
        <f t="shared" ca="1" si="93"/>
        <v>--</v>
      </c>
      <c r="G65" s="32" t="str">
        <f t="shared" ca="1" si="94"/>
        <v>EXPIRED</v>
      </c>
      <c r="H65" s="32" t="str">
        <f ca="1">IF(Message&lt;&gt;"","--",I65*(1-IF(OR(Income!P64="NA",Income!P64=0),0.2,Income!P64)))</f>
        <v>--</v>
      </c>
      <c r="I65" s="32" t="str">
        <f t="shared" ca="1" si="95"/>
        <v>EXPIRED</v>
      </c>
      <c r="J65" s="66"/>
      <c r="K65" s="74" t="str">
        <f ca="1">IF(Message&lt;&gt;"",Message,Income!M64+Dashboard!I117+Dashboard!K117-Taxes!BR70)</f>
        <v>EXPIRED</v>
      </c>
      <c r="L65" s="74" t="str">
        <f t="shared" ca="1" si="96"/>
        <v>EXPIRED</v>
      </c>
      <c r="M65" s="5" t="str">
        <f t="shared" ca="1" si="97"/>
        <v>EXPIRED</v>
      </c>
      <c r="N65" s="5" t="str">
        <f ca="1">IF(Message&lt;&gt;"",Message,MAX(MIN(Target401K*C65,SUM(Income!D64:J64),W65+K65),-I64)+IF(W65+K65&lt;0,-M65,0))</f>
        <v>EXPIRED</v>
      </c>
      <c r="O65" s="66"/>
      <c r="P65" s="71" t="str">
        <f t="shared" ca="1" si="98"/>
        <v>EXPIRED</v>
      </c>
      <c r="Q65" s="71" t="str">
        <f t="shared" ca="1" si="99"/>
        <v>EXPIRED</v>
      </c>
      <c r="R65" s="66"/>
      <c r="S65" s="9" t="str">
        <f t="shared" ca="1" si="100"/>
        <v>EXPIRED</v>
      </c>
      <c r="T65" s="9" t="str">
        <f t="shared" ca="1" si="84"/>
        <v>EXPIRED</v>
      </c>
      <c r="U65" s="9">
        <f ca="1">+Taxes!L70</f>
        <v>0</v>
      </c>
      <c r="V65" s="9" t="str">
        <f t="shared" ca="1" si="101"/>
        <v>EXPIRED</v>
      </c>
      <c r="W65" s="9" t="e">
        <f t="shared" ca="1" si="85"/>
        <v>#VALUE!</v>
      </c>
      <c r="X65" s="66"/>
      <c r="Y65" s="9" t="str">
        <f t="shared" ca="1" si="102"/>
        <v>EXPIRED</v>
      </c>
      <c r="Z65" s="9" t="str">
        <f t="shared" ca="1" si="103"/>
        <v>--</v>
      </c>
      <c r="AA65" s="9" t="str">
        <f t="shared" ca="1" si="104"/>
        <v>EXPIRED</v>
      </c>
      <c r="AB65" s="9" t="str">
        <f t="shared" ca="1" si="105"/>
        <v>--</v>
      </c>
      <c r="AC65" s="9" t="str">
        <f t="shared" ca="1" si="106"/>
        <v>EXPIRED</v>
      </c>
      <c r="AD65" s="9" t="str">
        <f t="shared" ca="1" si="107"/>
        <v>--</v>
      </c>
      <c r="AE65" s="9" t="str">
        <f t="shared" ca="1" si="87"/>
        <v>EXPIRED</v>
      </c>
      <c r="AF65" s="66"/>
      <c r="AG65" s="9" t="str">
        <f t="shared" ca="1" si="66"/>
        <v>EXPIRED</v>
      </c>
      <c r="AH65" s="9" t="str">
        <f t="shared" ca="1" si="67"/>
        <v>--</v>
      </c>
      <c r="AI65" s="9" t="str">
        <f t="shared" ca="1" si="68"/>
        <v>EXPIRED</v>
      </c>
      <c r="AJ65" s="9" t="str">
        <f t="shared" ca="1" si="69"/>
        <v>--</v>
      </c>
      <c r="AK65" s="9" t="str">
        <f t="shared" ca="1" si="70"/>
        <v>EXPIRED</v>
      </c>
      <c r="AL65" s="9" t="str">
        <f t="shared" ca="1" si="71"/>
        <v>--</v>
      </c>
      <c r="AM65" s="9" t="str">
        <f t="shared" ca="1" si="88"/>
        <v>EXPIRED</v>
      </c>
      <c r="AN65" s="66"/>
      <c r="AO65" s="9" t="str">
        <f t="shared" ca="1" si="72"/>
        <v>EXPIRED</v>
      </c>
      <c r="AP65" s="9" t="str">
        <f t="shared" ca="1" si="73"/>
        <v>--</v>
      </c>
      <c r="AQ65" s="9" t="str">
        <f t="shared" ca="1" si="74"/>
        <v>EXPIRED</v>
      </c>
      <c r="AR65" s="9" t="str">
        <f t="shared" ca="1" si="75"/>
        <v>--</v>
      </c>
      <c r="AS65" s="9" t="str">
        <f t="shared" ca="1" si="76"/>
        <v>EXPIRED</v>
      </c>
      <c r="AT65" s="9" t="str">
        <f t="shared" ca="1" si="77"/>
        <v>--</v>
      </c>
      <c r="AU65" s="9" t="str">
        <f t="shared" ca="1" si="89"/>
        <v>EXPIRED</v>
      </c>
      <c r="AV65" s="66"/>
      <c r="AW65" s="9" t="str">
        <f t="shared" ca="1" si="78"/>
        <v>EXPIRED</v>
      </c>
      <c r="AX65" s="9" t="str">
        <f t="shared" ca="1" si="79"/>
        <v>--</v>
      </c>
      <c r="AY65" s="9" t="str">
        <f t="shared" ca="1" si="80"/>
        <v>EXPIRED</v>
      </c>
      <c r="AZ65" s="9" t="str">
        <f t="shared" ca="1" si="81"/>
        <v>--</v>
      </c>
      <c r="BA65" s="9" t="str">
        <f t="shared" ca="1" si="82"/>
        <v>EXPIRED</v>
      </c>
      <c r="BB65" s="9" t="str">
        <f t="shared" ca="1" si="83"/>
        <v>--</v>
      </c>
      <c r="BC65" s="9" t="str">
        <f t="shared" ca="1" si="90"/>
        <v>EXPIRED</v>
      </c>
      <c r="BD65" s="66"/>
    </row>
    <row r="66" spans="1:56" x14ac:dyDescent="0.25">
      <c r="A66" s="14">
        <f t="shared" si="108"/>
        <v>55</v>
      </c>
      <c r="B66" s="14">
        <f t="shared" si="108"/>
        <v>95</v>
      </c>
      <c r="C66" s="38">
        <f t="shared" si="4"/>
        <v>2.9717306730230897</v>
      </c>
      <c r="D66" s="66"/>
      <c r="E66" s="32" t="str">
        <f t="shared" ca="1" si="92"/>
        <v>EXPIRED</v>
      </c>
      <c r="F66" s="32" t="str">
        <f t="shared" ca="1" si="93"/>
        <v>--</v>
      </c>
      <c r="G66" s="32" t="str">
        <f t="shared" ca="1" si="94"/>
        <v>EXPIRED</v>
      </c>
      <c r="H66" s="32" t="str">
        <f ca="1">IF(Message&lt;&gt;"","--",I66*(1-IF(OR(Income!P65="NA",Income!P65=0),0.2,Income!P65)))</f>
        <v>--</v>
      </c>
      <c r="I66" s="32" t="str">
        <f t="shared" ca="1" si="95"/>
        <v>EXPIRED</v>
      </c>
      <c r="J66" s="66"/>
      <c r="K66" s="74" t="str">
        <f ca="1">IF(Message&lt;&gt;"",Message,Income!M65+Dashboard!I118+Dashboard!K118-Taxes!BR71)</f>
        <v>EXPIRED</v>
      </c>
      <c r="L66" s="74" t="str">
        <f t="shared" ca="1" si="96"/>
        <v>EXPIRED</v>
      </c>
      <c r="M66" s="5" t="str">
        <f t="shared" ca="1" si="97"/>
        <v>EXPIRED</v>
      </c>
      <c r="N66" s="5" t="str">
        <f ca="1">IF(Message&lt;&gt;"",Message,MAX(MIN(Target401K*C66,SUM(Income!D65:J65),W66+K66),-I65)+IF(W66+K66&lt;0,-M66,0))</f>
        <v>EXPIRED</v>
      </c>
      <c r="O66" s="66"/>
      <c r="P66" s="71" t="str">
        <f t="shared" ca="1" si="98"/>
        <v>EXPIRED</v>
      </c>
      <c r="Q66" s="71" t="str">
        <f t="shared" ca="1" si="99"/>
        <v>EXPIRED</v>
      </c>
      <c r="R66" s="66"/>
      <c r="S66" s="9" t="str">
        <f t="shared" ca="1" si="100"/>
        <v>EXPIRED</v>
      </c>
      <c r="T66" s="9" t="str">
        <f t="shared" ca="1" si="84"/>
        <v>EXPIRED</v>
      </c>
      <c r="U66" s="9">
        <f ca="1">+Taxes!L71</f>
        <v>0</v>
      </c>
      <c r="V66" s="9" t="str">
        <f t="shared" ca="1" si="101"/>
        <v>EXPIRED</v>
      </c>
      <c r="W66" s="9" t="e">
        <f t="shared" ca="1" si="85"/>
        <v>#VALUE!</v>
      </c>
      <c r="X66" s="66"/>
      <c r="Y66" s="9" t="str">
        <f t="shared" ca="1" si="102"/>
        <v>EXPIRED</v>
      </c>
      <c r="Z66" s="9" t="str">
        <f t="shared" ca="1" si="103"/>
        <v>--</v>
      </c>
      <c r="AA66" s="9" t="str">
        <f t="shared" ca="1" si="104"/>
        <v>EXPIRED</v>
      </c>
      <c r="AB66" s="9" t="str">
        <f t="shared" ca="1" si="105"/>
        <v>--</v>
      </c>
      <c r="AC66" s="9" t="str">
        <f t="shared" ca="1" si="106"/>
        <v>EXPIRED</v>
      </c>
      <c r="AD66" s="9" t="str">
        <f t="shared" ca="1" si="107"/>
        <v>--</v>
      </c>
      <c r="AE66" s="9" t="str">
        <f t="shared" ca="1" si="87"/>
        <v>EXPIRED</v>
      </c>
      <c r="AF66" s="66"/>
      <c r="AG66" s="9" t="str">
        <f t="shared" ca="1" si="66"/>
        <v>EXPIRED</v>
      </c>
      <c r="AH66" s="9" t="str">
        <f t="shared" ca="1" si="67"/>
        <v>--</v>
      </c>
      <c r="AI66" s="9" t="str">
        <f t="shared" ca="1" si="68"/>
        <v>EXPIRED</v>
      </c>
      <c r="AJ66" s="9" t="str">
        <f t="shared" ca="1" si="69"/>
        <v>--</v>
      </c>
      <c r="AK66" s="9" t="str">
        <f t="shared" ca="1" si="70"/>
        <v>EXPIRED</v>
      </c>
      <c r="AL66" s="9" t="str">
        <f t="shared" ca="1" si="71"/>
        <v>--</v>
      </c>
      <c r="AM66" s="9" t="str">
        <f t="shared" ca="1" si="88"/>
        <v>EXPIRED</v>
      </c>
      <c r="AN66" s="66"/>
      <c r="AO66" s="9" t="str">
        <f t="shared" ca="1" si="72"/>
        <v>EXPIRED</v>
      </c>
      <c r="AP66" s="9" t="str">
        <f t="shared" ca="1" si="73"/>
        <v>--</v>
      </c>
      <c r="AQ66" s="9" t="str">
        <f t="shared" ca="1" si="74"/>
        <v>EXPIRED</v>
      </c>
      <c r="AR66" s="9" t="str">
        <f t="shared" ca="1" si="75"/>
        <v>--</v>
      </c>
      <c r="AS66" s="9" t="str">
        <f t="shared" ca="1" si="76"/>
        <v>EXPIRED</v>
      </c>
      <c r="AT66" s="9" t="str">
        <f t="shared" ca="1" si="77"/>
        <v>--</v>
      </c>
      <c r="AU66" s="9" t="str">
        <f t="shared" ca="1" si="89"/>
        <v>EXPIRED</v>
      </c>
      <c r="AV66" s="66"/>
      <c r="AW66" s="9" t="str">
        <f t="shared" ca="1" si="78"/>
        <v>EXPIRED</v>
      </c>
      <c r="AX66" s="9" t="str">
        <f t="shared" ca="1" si="79"/>
        <v>--</v>
      </c>
      <c r="AY66" s="9" t="str">
        <f t="shared" ca="1" si="80"/>
        <v>EXPIRED</v>
      </c>
      <c r="AZ66" s="9" t="str">
        <f t="shared" ca="1" si="81"/>
        <v>--</v>
      </c>
      <c r="BA66" s="9" t="str">
        <f t="shared" ca="1" si="82"/>
        <v>EXPIRED</v>
      </c>
      <c r="BB66" s="9" t="str">
        <f t="shared" ca="1" si="83"/>
        <v>--</v>
      </c>
      <c r="BC66" s="9" t="str">
        <f t="shared" ca="1" si="90"/>
        <v>EXPIRED</v>
      </c>
      <c r="BD66" s="66"/>
    </row>
    <row r="67" spans="1:56" x14ac:dyDescent="0.25">
      <c r="A67" s="14">
        <f t="shared" si="108"/>
        <v>56</v>
      </c>
      <c r="B67" s="14">
        <f t="shared" si="108"/>
        <v>96</v>
      </c>
      <c r="C67" s="38">
        <f t="shared" si="4"/>
        <v>3.0311652864835517</v>
      </c>
      <c r="D67" s="66"/>
      <c r="E67" s="32" t="str">
        <f t="shared" ca="1" si="92"/>
        <v>EXPIRED</v>
      </c>
      <c r="F67" s="32" t="str">
        <f t="shared" ca="1" si="93"/>
        <v>--</v>
      </c>
      <c r="G67" s="32" t="str">
        <f t="shared" ca="1" si="94"/>
        <v>EXPIRED</v>
      </c>
      <c r="H67" s="32" t="str">
        <f ca="1">IF(Message&lt;&gt;"","--",I67*(1-IF(OR(Income!P66="NA",Income!P66=0),0.2,Income!P66)))</f>
        <v>--</v>
      </c>
      <c r="I67" s="32" t="str">
        <f t="shared" ca="1" si="95"/>
        <v>EXPIRED</v>
      </c>
      <c r="J67" s="66"/>
      <c r="K67" s="74" t="str">
        <f ca="1">IF(Message&lt;&gt;"",Message,Income!M66+Dashboard!I119+Dashboard!K119-Taxes!BR72)</f>
        <v>EXPIRED</v>
      </c>
      <c r="L67" s="74" t="str">
        <f t="shared" ca="1" si="96"/>
        <v>EXPIRED</v>
      </c>
      <c r="M67" s="5" t="str">
        <f t="shared" ca="1" si="97"/>
        <v>EXPIRED</v>
      </c>
      <c r="N67" s="5" t="str">
        <f ca="1">IF(Message&lt;&gt;"",Message,MAX(MIN(Target401K*C67,SUM(Income!D66:J66),W67+K67),-I66)+IF(W67+K67&lt;0,-M67,0))</f>
        <v>EXPIRED</v>
      </c>
      <c r="O67" s="66"/>
      <c r="P67" s="71" t="str">
        <f t="shared" ca="1" si="98"/>
        <v>EXPIRED</v>
      </c>
      <c r="Q67" s="71" t="str">
        <f t="shared" ca="1" si="99"/>
        <v>EXPIRED</v>
      </c>
      <c r="R67" s="66"/>
      <c r="S67" s="9" t="str">
        <f t="shared" ca="1" si="100"/>
        <v>EXPIRED</v>
      </c>
      <c r="T67" s="9" t="str">
        <f t="shared" ca="1" si="84"/>
        <v>EXPIRED</v>
      </c>
      <c r="U67" s="9">
        <f ca="1">+Taxes!L72</f>
        <v>0</v>
      </c>
      <c r="V67" s="9" t="str">
        <f t="shared" ca="1" si="101"/>
        <v>EXPIRED</v>
      </c>
      <c r="W67" s="9" t="e">
        <f t="shared" ca="1" si="85"/>
        <v>#VALUE!</v>
      </c>
      <c r="X67" s="66"/>
      <c r="Y67" s="9" t="str">
        <f t="shared" ca="1" si="102"/>
        <v>EXPIRED</v>
      </c>
      <c r="Z67" s="9" t="str">
        <f t="shared" ca="1" si="103"/>
        <v>--</v>
      </c>
      <c r="AA67" s="9" t="str">
        <f t="shared" ca="1" si="104"/>
        <v>EXPIRED</v>
      </c>
      <c r="AB67" s="9" t="str">
        <f t="shared" ca="1" si="105"/>
        <v>--</v>
      </c>
      <c r="AC67" s="9" t="str">
        <f t="shared" ca="1" si="106"/>
        <v>EXPIRED</v>
      </c>
      <c r="AD67" s="9" t="str">
        <f t="shared" ca="1" si="107"/>
        <v>--</v>
      </c>
      <c r="AE67" s="9" t="str">
        <f t="shared" ca="1" si="87"/>
        <v>EXPIRED</v>
      </c>
      <c r="AF67" s="66"/>
      <c r="AG67" s="9" t="str">
        <f t="shared" ca="1" si="66"/>
        <v>EXPIRED</v>
      </c>
      <c r="AH67" s="9" t="str">
        <f t="shared" ca="1" si="67"/>
        <v>--</v>
      </c>
      <c r="AI67" s="9" t="str">
        <f t="shared" ca="1" si="68"/>
        <v>EXPIRED</v>
      </c>
      <c r="AJ67" s="9" t="str">
        <f t="shared" ca="1" si="69"/>
        <v>--</v>
      </c>
      <c r="AK67" s="9" t="str">
        <f t="shared" ca="1" si="70"/>
        <v>EXPIRED</v>
      </c>
      <c r="AL67" s="9" t="str">
        <f t="shared" ca="1" si="71"/>
        <v>--</v>
      </c>
      <c r="AM67" s="9" t="str">
        <f t="shared" ca="1" si="88"/>
        <v>EXPIRED</v>
      </c>
      <c r="AN67" s="66"/>
      <c r="AO67" s="9" t="str">
        <f t="shared" ca="1" si="72"/>
        <v>EXPIRED</v>
      </c>
      <c r="AP67" s="9" t="str">
        <f t="shared" ca="1" si="73"/>
        <v>--</v>
      </c>
      <c r="AQ67" s="9" t="str">
        <f t="shared" ca="1" si="74"/>
        <v>EXPIRED</v>
      </c>
      <c r="AR67" s="9" t="str">
        <f t="shared" ca="1" si="75"/>
        <v>--</v>
      </c>
      <c r="AS67" s="9" t="str">
        <f t="shared" ca="1" si="76"/>
        <v>EXPIRED</v>
      </c>
      <c r="AT67" s="9" t="str">
        <f t="shared" ca="1" si="77"/>
        <v>--</v>
      </c>
      <c r="AU67" s="9" t="str">
        <f t="shared" ca="1" si="89"/>
        <v>EXPIRED</v>
      </c>
      <c r="AV67" s="66"/>
      <c r="AW67" s="9" t="str">
        <f t="shared" ca="1" si="78"/>
        <v>EXPIRED</v>
      </c>
      <c r="AX67" s="9" t="str">
        <f t="shared" ca="1" si="79"/>
        <v>--</v>
      </c>
      <c r="AY67" s="9" t="str">
        <f t="shared" ca="1" si="80"/>
        <v>EXPIRED</v>
      </c>
      <c r="AZ67" s="9" t="str">
        <f t="shared" ca="1" si="81"/>
        <v>--</v>
      </c>
      <c r="BA67" s="9" t="str">
        <f t="shared" ca="1" si="82"/>
        <v>EXPIRED</v>
      </c>
      <c r="BB67" s="9" t="str">
        <f t="shared" ca="1" si="83"/>
        <v>--</v>
      </c>
      <c r="BC67" s="9" t="str">
        <f t="shared" ca="1" si="90"/>
        <v>EXPIRED</v>
      </c>
      <c r="BD67" s="66"/>
    </row>
    <row r="68" spans="1:56" x14ac:dyDescent="0.25">
      <c r="A68" s="14">
        <f t="shared" si="108"/>
        <v>57</v>
      </c>
      <c r="B68" s="14">
        <f t="shared" si="108"/>
        <v>97</v>
      </c>
      <c r="C68" s="38">
        <f t="shared" si="4"/>
        <v>3.0917885922132227</v>
      </c>
      <c r="D68" s="66"/>
      <c r="E68" s="32" t="str">
        <f t="shared" ca="1" si="92"/>
        <v>EXPIRED</v>
      </c>
      <c r="F68" s="32" t="str">
        <f t="shared" ca="1" si="93"/>
        <v>--</v>
      </c>
      <c r="G68" s="32" t="str">
        <f t="shared" ca="1" si="94"/>
        <v>EXPIRED</v>
      </c>
      <c r="H68" s="32" t="str">
        <f ca="1">IF(Message&lt;&gt;"","--",I68*(1-IF(OR(Income!P67="NA",Income!P67=0),0.2,Income!P67)))</f>
        <v>--</v>
      </c>
      <c r="I68" s="32" t="str">
        <f t="shared" ca="1" si="95"/>
        <v>EXPIRED</v>
      </c>
      <c r="J68" s="66"/>
      <c r="K68" s="74" t="str">
        <f ca="1">IF(Message&lt;&gt;"",Message,Income!M67+Dashboard!I120+Dashboard!K120-Taxes!BR73)</f>
        <v>EXPIRED</v>
      </c>
      <c r="L68" s="74" t="str">
        <f t="shared" ca="1" si="96"/>
        <v>EXPIRED</v>
      </c>
      <c r="M68" s="5" t="str">
        <f t="shared" ca="1" si="97"/>
        <v>EXPIRED</v>
      </c>
      <c r="N68" s="5" t="str">
        <f ca="1">IF(Message&lt;&gt;"",Message,MAX(MIN(Target401K*C68,SUM(Income!D67:J67),W68+K68),-I67)+IF(W68+K68&lt;0,-M68,0))</f>
        <v>EXPIRED</v>
      </c>
      <c r="O68" s="66"/>
      <c r="P68" s="71" t="str">
        <f t="shared" ca="1" si="98"/>
        <v>EXPIRED</v>
      </c>
      <c r="Q68" s="71" t="str">
        <f t="shared" ca="1" si="99"/>
        <v>EXPIRED</v>
      </c>
      <c r="R68" s="66"/>
      <c r="S68" s="9" t="str">
        <f t="shared" ca="1" si="100"/>
        <v>EXPIRED</v>
      </c>
      <c r="T68" s="9" t="str">
        <f t="shared" ca="1" si="84"/>
        <v>EXPIRED</v>
      </c>
      <c r="U68" s="9">
        <f ca="1">+Taxes!L73</f>
        <v>0</v>
      </c>
      <c r="V68" s="9" t="str">
        <f t="shared" ca="1" si="101"/>
        <v>EXPIRED</v>
      </c>
      <c r="W68" s="9" t="e">
        <f t="shared" ca="1" si="85"/>
        <v>#VALUE!</v>
      </c>
      <c r="X68" s="66"/>
      <c r="Y68" s="9" t="str">
        <f t="shared" ca="1" si="102"/>
        <v>EXPIRED</v>
      </c>
      <c r="Z68" s="9" t="str">
        <f t="shared" ca="1" si="103"/>
        <v>--</v>
      </c>
      <c r="AA68" s="9" t="str">
        <f t="shared" ca="1" si="104"/>
        <v>EXPIRED</v>
      </c>
      <c r="AB68" s="9" t="str">
        <f t="shared" ca="1" si="105"/>
        <v>--</v>
      </c>
      <c r="AC68" s="9" t="str">
        <f t="shared" ca="1" si="106"/>
        <v>EXPIRED</v>
      </c>
      <c r="AD68" s="9" t="str">
        <f t="shared" ca="1" si="107"/>
        <v>--</v>
      </c>
      <c r="AE68" s="9" t="str">
        <f t="shared" ca="1" si="87"/>
        <v>EXPIRED</v>
      </c>
      <c r="AF68" s="66"/>
      <c r="AG68" s="9" t="str">
        <f t="shared" ca="1" si="66"/>
        <v>EXPIRED</v>
      </c>
      <c r="AH68" s="9" t="str">
        <f t="shared" ca="1" si="67"/>
        <v>--</v>
      </c>
      <c r="AI68" s="9" t="str">
        <f t="shared" ca="1" si="68"/>
        <v>EXPIRED</v>
      </c>
      <c r="AJ68" s="9" t="str">
        <f t="shared" ca="1" si="69"/>
        <v>--</v>
      </c>
      <c r="AK68" s="9" t="str">
        <f t="shared" ca="1" si="70"/>
        <v>EXPIRED</v>
      </c>
      <c r="AL68" s="9" t="str">
        <f t="shared" ca="1" si="71"/>
        <v>--</v>
      </c>
      <c r="AM68" s="9" t="str">
        <f t="shared" ca="1" si="88"/>
        <v>EXPIRED</v>
      </c>
      <c r="AN68" s="66"/>
      <c r="AO68" s="9" t="str">
        <f t="shared" ca="1" si="72"/>
        <v>EXPIRED</v>
      </c>
      <c r="AP68" s="9" t="str">
        <f t="shared" ca="1" si="73"/>
        <v>--</v>
      </c>
      <c r="AQ68" s="9" t="str">
        <f t="shared" ca="1" si="74"/>
        <v>EXPIRED</v>
      </c>
      <c r="AR68" s="9" t="str">
        <f t="shared" ca="1" si="75"/>
        <v>--</v>
      </c>
      <c r="AS68" s="9" t="str">
        <f t="shared" ca="1" si="76"/>
        <v>EXPIRED</v>
      </c>
      <c r="AT68" s="9" t="str">
        <f t="shared" ca="1" si="77"/>
        <v>--</v>
      </c>
      <c r="AU68" s="9" t="str">
        <f t="shared" ca="1" si="89"/>
        <v>EXPIRED</v>
      </c>
      <c r="AV68" s="66"/>
      <c r="AW68" s="9" t="str">
        <f t="shared" ca="1" si="78"/>
        <v>EXPIRED</v>
      </c>
      <c r="AX68" s="9" t="str">
        <f t="shared" ca="1" si="79"/>
        <v>--</v>
      </c>
      <c r="AY68" s="9" t="str">
        <f t="shared" ca="1" si="80"/>
        <v>EXPIRED</v>
      </c>
      <c r="AZ68" s="9" t="str">
        <f t="shared" ca="1" si="81"/>
        <v>--</v>
      </c>
      <c r="BA68" s="9" t="str">
        <f t="shared" ca="1" si="82"/>
        <v>EXPIRED</v>
      </c>
      <c r="BB68" s="9" t="str">
        <f t="shared" ca="1" si="83"/>
        <v>--</v>
      </c>
      <c r="BC68" s="9" t="str">
        <f t="shared" ca="1" si="90"/>
        <v>EXPIRED</v>
      </c>
      <c r="BD68" s="66"/>
    </row>
    <row r="69" spans="1:56" x14ac:dyDescent="0.25">
      <c r="A69" s="14">
        <f t="shared" si="108"/>
        <v>58</v>
      </c>
      <c r="B69" s="14">
        <f t="shared" si="108"/>
        <v>98</v>
      </c>
      <c r="C69" s="38">
        <f t="shared" si="4"/>
        <v>3.1536243640574875</v>
      </c>
      <c r="D69" s="66"/>
      <c r="E69" s="32" t="str">
        <f t="shared" ca="1" si="92"/>
        <v>EXPIRED</v>
      </c>
      <c r="F69" s="32" t="str">
        <f t="shared" ca="1" si="93"/>
        <v>--</v>
      </c>
      <c r="G69" s="32" t="str">
        <f t="shared" ca="1" si="94"/>
        <v>EXPIRED</v>
      </c>
      <c r="H69" s="32" t="str">
        <f ca="1">IF(Message&lt;&gt;"","--",I69*(1-IF(OR(Income!P68="NA",Income!P68=0),0.2,Income!P68)))</f>
        <v>--</v>
      </c>
      <c r="I69" s="32" t="str">
        <f t="shared" ca="1" si="95"/>
        <v>EXPIRED</v>
      </c>
      <c r="J69" s="66"/>
      <c r="K69" s="74" t="str">
        <f ca="1">IF(Message&lt;&gt;"",Message,Income!M68+Dashboard!I121+Dashboard!K121-Taxes!BR74)</f>
        <v>EXPIRED</v>
      </c>
      <c r="L69" s="74" t="str">
        <f t="shared" ca="1" si="96"/>
        <v>EXPIRED</v>
      </c>
      <c r="M69" s="5" t="str">
        <f t="shared" ca="1" si="97"/>
        <v>EXPIRED</v>
      </c>
      <c r="N69" s="5" t="str">
        <f ca="1">IF(Message&lt;&gt;"",Message,MAX(MIN(Target401K*C69,SUM(Income!D68:J68),W69+K69),-I68)+IF(W69+K69&lt;0,-M69,0))</f>
        <v>EXPIRED</v>
      </c>
      <c r="O69" s="66"/>
      <c r="P69" s="71" t="str">
        <f t="shared" ca="1" si="98"/>
        <v>EXPIRED</v>
      </c>
      <c r="Q69" s="71" t="str">
        <f t="shared" ca="1" si="99"/>
        <v>EXPIRED</v>
      </c>
      <c r="R69" s="66"/>
      <c r="S69" s="9" t="str">
        <f t="shared" ca="1" si="100"/>
        <v>EXPIRED</v>
      </c>
      <c r="T69" s="9" t="str">
        <f t="shared" ca="1" si="84"/>
        <v>EXPIRED</v>
      </c>
      <c r="U69" s="9">
        <f ca="1">+Taxes!L74</f>
        <v>0</v>
      </c>
      <c r="V69" s="9" t="str">
        <f t="shared" ca="1" si="101"/>
        <v>EXPIRED</v>
      </c>
      <c r="W69" s="9" t="e">
        <f t="shared" ca="1" si="85"/>
        <v>#VALUE!</v>
      </c>
      <c r="X69" s="66"/>
      <c r="Y69" s="9" t="str">
        <f t="shared" ca="1" si="102"/>
        <v>EXPIRED</v>
      </c>
      <c r="Z69" s="9" t="str">
        <f t="shared" ca="1" si="103"/>
        <v>--</v>
      </c>
      <c r="AA69" s="9" t="str">
        <f t="shared" ca="1" si="104"/>
        <v>EXPIRED</v>
      </c>
      <c r="AB69" s="9" t="str">
        <f t="shared" ca="1" si="105"/>
        <v>--</v>
      </c>
      <c r="AC69" s="9" t="str">
        <f t="shared" ca="1" si="106"/>
        <v>EXPIRED</v>
      </c>
      <c r="AD69" s="9" t="str">
        <f t="shared" ca="1" si="107"/>
        <v>--</v>
      </c>
      <c r="AE69" s="9" t="str">
        <f t="shared" ca="1" si="87"/>
        <v>EXPIRED</v>
      </c>
      <c r="AF69" s="66"/>
      <c r="AG69" s="9" t="str">
        <f t="shared" ca="1" si="66"/>
        <v>EXPIRED</v>
      </c>
      <c r="AH69" s="9" t="str">
        <f t="shared" ca="1" si="67"/>
        <v>--</v>
      </c>
      <c r="AI69" s="9" t="str">
        <f t="shared" ca="1" si="68"/>
        <v>EXPIRED</v>
      </c>
      <c r="AJ69" s="9" t="str">
        <f t="shared" ca="1" si="69"/>
        <v>--</v>
      </c>
      <c r="AK69" s="9" t="str">
        <f t="shared" ca="1" si="70"/>
        <v>EXPIRED</v>
      </c>
      <c r="AL69" s="9" t="str">
        <f t="shared" ca="1" si="71"/>
        <v>--</v>
      </c>
      <c r="AM69" s="9" t="str">
        <f t="shared" ca="1" si="88"/>
        <v>EXPIRED</v>
      </c>
      <c r="AN69" s="66"/>
      <c r="AO69" s="9" t="str">
        <f t="shared" ca="1" si="72"/>
        <v>EXPIRED</v>
      </c>
      <c r="AP69" s="9" t="str">
        <f t="shared" ca="1" si="73"/>
        <v>--</v>
      </c>
      <c r="AQ69" s="9" t="str">
        <f t="shared" ca="1" si="74"/>
        <v>EXPIRED</v>
      </c>
      <c r="AR69" s="9" t="str">
        <f t="shared" ca="1" si="75"/>
        <v>--</v>
      </c>
      <c r="AS69" s="9" t="str">
        <f t="shared" ca="1" si="76"/>
        <v>EXPIRED</v>
      </c>
      <c r="AT69" s="9" t="str">
        <f t="shared" ca="1" si="77"/>
        <v>--</v>
      </c>
      <c r="AU69" s="9" t="str">
        <f t="shared" ca="1" si="89"/>
        <v>EXPIRED</v>
      </c>
      <c r="AV69" s="66"/>
      <c r="AW69" s="9" t="str">
        <f t="shared" ca="1" si="78"/>
        <v>EXPIRED</v>
      </c>
      <c r="AX69" s="9" t="str">
        <f t="shared" ca="1" si="79"/>
        <v>--</v>
      </c>
      <c r="AY69" s="9" t="str">
        <f t="shared" ca="1" si="80"/>
        <v>EXPIRED</v>
      </c>
      <c r="AZ69" s="9" t="str">
        <f t="shared" ca="1" si="81"/>
        <v>--</v>
      </c>
      <c r="BA69" s="9" t="str">
        <f t="shared" ca="1" si="82"/>
        <v>EXPIRED</v>
      </c>
      <c r="BB69" s="9" t="str">
        <f t="shared" ca="1" si="83"/>
        <v>--</v>
      </c>
      <c r="BC69" s="9" t="str">
        <f t="shared" ca="1" si="90"/>
        <v>EXPIRED</v>
      </c>
      <c r="BD69" s="66"/>
    </row>
    <row r="70" spans="1:56" x14ac:dyDescent="0.25">
      <c r="A70" s="14">
        <f t="shared" si="108"/>
        <v>59</v>
      </c>
      <c r="B70" s="14">
        <f t="shared" si="108"/>
        <v>99</v>
      </c>
      <c r="C70" s="38">
        <f t="shared" si="4"/>
        <v>3.2166968513386367</v>
      </c>
      <c r="D70" s="66"/>
      <c r="E70" s="32" t="str">
        <f t="shared" ca="1" si="92"/>
        <v>EXPIRED</v>
      </c>
      <c r="F70" s="32" t="str">
        <f t="shared" ca="1" si="93"/>
        <v>--</v>
      </c>
      <c r="G70" s="32" t="str">
        <f t="shared" ca="1" si="94"/>
        <v>EXPIRED</v>
      </c>
      <c r="H70" s="32" t="str">
        <f ca="1">IF(Message&lt;&gt;"","--",I70*(1-IF(OR(Income!P69="NA",Income!P69=0),0.2,Income!P69)))</f>
        <v>--</v>
      </c>
      <c r="I70" s="32" t="str">
        <f t="shared" ca="1" si="95"/>
        <v>EXPIRED</v>
      </c>
      <c r="J70" s="66"/>
      <c r="K70" s="74" t="str">
        <f ca="1">IF(Message&lt;&gt;"",Message,Income!M69+Dashboard!I122+Dashboard!K122-Taxes!BR75)</f>
        <v>EXPIRED</v>
      </c>
      <c r="L70" s="74" t="str">
        <f t="shared" ca="1" si="96"/>
        <v>EXPIRED</v>
      </c>
      <c r="M70" s="5" t="str">
        <f t="shared" ca="1" si="97"/>
        <v>EXPIRED</v>
      </c>
      <c r="N70" s="5" t="str">
        <f ca="1">IF(Message&lt;&gt;"",Message,MAX(MIN(Target401K*C70,SUM(Income!D69:J69),W70+K70),-I69)+IF(W70+K70&lt;0,-M70,0))</f>
        <v>EXPIRED</v>
      </c>
      <c r="O70" s="66"/>
      <c r="P70" s="71" t="str">
        <f t="shared" ca="1" si="98"/>
        <v>EXPIRED</v>
      </c>
      <c r="Q70" s="71" t="str">
        <f t="shared" ca="1" si="99"/>
        <v>EXPIRED</v>
      </c>
      <c r="R70" s="66"/>
      <c r="S70" s="9" t="str">
        <f t="shared" ca="1" si="100"/>
        <v>EXPIRED</v>
      </c>
      <c r="T70" s="9" t="str">
        <f t="shared" ca="1" si="84"/>
        <v>EXPIRED</v>
      </c>
      <c r="U70" s="9">
        <f ca="1">+Taxes!L75</f>
        <v>0</v>
      </c>
      <c r="V70" s="9" t="str">
        <f t="shared" ca="1" si="101"/>
        <v>EXPIRED</v>
      </c>
      <c r="W70" s="9" t="e">
        <f t="shared" ca="1" si="85"/>
        <v>#VALUE!</v>
      </c>
      <c r="X70" s="66"/>
      <c r="Y70" s="9" t="str">
        <f t="shared" ca="1" si="102"/>
        <v>EXPIRED</v>
      </c>
      <c r="Z70" s="9" t="str">
        <f t="shared" ca="1" si="103"/>
        <v>--</v>
      </c>
      <c r="AA70" s="9" t="str">
        <f t="shared" ca="1" si="104"/>
        <v>EXPIRED</v>
      </c>
      <c r="AB70" s="9" t="str">
        <f t="shared" ca="1" si="105"/>
        <v>--</v>
      </c>
      <c r="AC70" s="9" t="str">
        <f t="shared" ca="1" si="106"/>
        <v>EXPIRED</v>
      </c>
      <c r="AD70" s="9" t="str">
        <f t="shared" ca="1" si="107"/>
        <v>--</v>
      </c>
      <c r="AE70" s="9" t="str">
        <f t="shared" ca="1" si="87"/>
        <v>EXPIRED</v>
      </c>
      <c r="AF70" s="66"/>
      <c r="AG70" s="9" t="str">
        <f t="shared" ca="1" si="66"/>
        <v>EXPIRED</v>
      </c>
      <c r="AH70" s="9" t="str">
        <f t="shared" ca="1" si="67"/>
        <v>--</v>
      </c>
      <c r="AI70" s="9" t="str">
        <f t="shared" ca="1" si="68"/>
        <v>EXPIRED</v>
      </c>
      <c r="AJ70" s="9" t="str">
        <f t="shared" ca="1" si="69"/>
        <v>--</v>
      </c>
      <c r="AK70" s="9" t="str">
        <f t="shared" ca="1" si="70"/>
        <v>EXPIRED</v>
      </c>
      <c r="AL70" s="9" t="str">
        <f t="shared" ca="1" si="71"/>
        <v>--</v>
      </c>
      <c r="AM70" s="9" t="str">
        <f t="shared" ca="1" si="88"/>
        <v>EXPIRED</v>
      </c>
      <c r="AN70" s="66"/>
      <c r="AO70" s="9" t="str">
        <f t="shared" ca="1" si="72"/>
        <v>EXPIRED</v>
      </c>
      <c r="AP70" s="9" t="str">
        <f t="shared" ca="1" si="73"/>
        <v>--</v>
      </c>
      <c r="AQ70" s="9" t="str">
        <f t="shared" ca="1" si="74"/>
        <v>EXPIRED</v>
      </c>
      <c r="AR70" s="9" t="str">
        <f t="shared" ca="1" si="75"/>
        <v>--</v>
      </c>
      <c r="AS70" s="9" t="str">
        <f t="shared" ca="1" si="76"/>
        <v>EXPIRED</v>
      </c>
      <c r="AT70" s="9" t="str">
        <f t="shared" ca="1" si="77"/>
        <v>--</v>
      </c>
      <c r="AU70" s="9" t="str">
        <f t="shared" ca="1" si="89"/>
        <v>EXPIRED</v>
      </c>
      <c r="AV70" s="66"/>
      <c r="AW70" s="9" t="str">
        <f t="shared" ca="1" si="78"/>
        <v>EXPIRED</v>
      </c>
      <c r="AX70" s="9" t="str">
        <f t="shared" ca="1" si="79"/>
        <v>--</v>
      </c>
      <c r="AY70" s="9" t="str">
        <f t="shared" ca="1" si="80"/>
        <v>EXPIRED</v>
      </c>
      <c r="AZ70" s="9" t="str">
        <f t="shared" ca="1" si="81"/>
        <v>--</v>
      </c>
      <c r="BA70" s="9" t="str">
        <f t="shared" ca="1" si="82"/>
        <v>EXPIRED</v>
      </c>
      <c r="BB70" s="9" t="str">
        <f t="shared" ca="1" si="83"/>
        <v>--</v>
      </c>
      <c r="BC70" s="9" t="str">
        <f t="shared" ca="1" si="90"/>
        <v>EXPIRED</v>
      </c>
      <c r="BD70" s="66"/>
    </row>
    <row r="71" spans="1:56" x14ac:dyDescent="0.25">
      <c r="A71" s="14">
        <f t="shared" si="108"/>
        <v>60</v>
      </c>
      <c r="B71" s="14">
        <f t="shared" si="108"/>
        <v>100</v>
      </c>
      <c r="C71" s="38">
        <f t="shared" si="4"/>
        <v>3.2810307883654102</v>
      </c>
      <c r="D71" s="66"/>
      <c r="E71" s="32" t="str">
        <f t="shared" ca="1" si="92"/>
        <v>EXPIRED</v>
      </c>
      <c r="F71" s="32" t="str">
        <f t="shared" ca="1" si="93"/>
        <v>--</v>
      </c>
      <c r="G71" s="32" t="str">
        <f t="shared" ca="1" si="94"/>
        <v>EXPIRED</v>
      </c>
      <c r="H71" s="32" t="str">
        <f ca="1">IF(Message&lt;&gt;"","--",I71*(1-IF(OR(Income!P70="NA",Income!P70=0),0.2,Income!P70)))</f>
        <v>--</v>
      </c>
      <c r="I71" s="32" t="str">
        <f t="shared" ca="1" si="95"/>
        <v>EXPIRED</v>
      </c>
      <c r="J71" s="66"/>
      <c r="K71" s="74" t="str">
        <f ca="1">IF(Message&lt;&gt;"",Message,Income!M70+Dashboard!I123+Dashboard!K123-Taxes!BR76)</f>
        <v>EXPIRED</v>
      </c>
      <c r="L71" s="74" t="str">
        <f t="shared" ca="1" si="96"/>
        <v>EXPIRED</v>
      </c>
      <c r="M71" s="5" t="str">
        <f t="shared" ca="1" si="97"/>
        <v>EXPIRED</v>
      </c>
      <c r="N71" s="5" t="str">
        <f ca="1">IF(Message&lt;&gt;"",Message,MAX(MIN(Target401K*C71,SUM(Income!D70:J70),W71+K71),-I70)+IF(W71+K71&lt;0,-M71,0))</f>
        <v>EXPIRED</v>
      </c>
      <c r="O71" s="66"/>
      <c r="P71" s="71" t="str">
        <f t="shared" ca="1" si="98"/>
        <v>EXPIRED</v>
      </c>
      <c r="Q71" s="71" t="str">
        <f t="shared" ca="1" si="99"/>
        <v>EXPIRED</v>
      </c>
      <c r="R71" s="66"/>
      <c r="S71" s="9" t="str">
        <f t="shared" ca="1" si="100"/>
        <v>EXPIRED</v>
      </c>
      <c r="T71" s="9" t="str">
        <f t="shared" ca="1" si="84"/>
        <v>EXPIRED</v>
      </c>
      <c r="U71" s="9">
        <f ca="1">+Taxes!L76</f>
        <v>0</v>
      </c>
      <c r="V71" s="9" t="str">
        <f t="shared" ca="1" si="101"/>
        <v>EXPIRED</v>
      </c>
      <c r="W71" s="9" t="e">
        <f t="shared" ca="1" si="85"/>
        <v>#VALUE!</v>
      </c>
      <c r="X71" s="66"/>
      <c r="Y71" s="9" t="str">
        <f t="shared" ca="1" si="102"/>
        <v>EXPIRED</v>
      </c>
      <c r="Z71" s="9" t="str">
        <f t="shared" ca="1" si="103"/>
        <v>--</v>
      </c>
      <c r="AA71" s="9" t="str">
        <f t="shared" ca="1" si="104"/>
        <v>EXPIRED</v>
      </c>
      <c r="AB71" s="9" t="str">
        <f t="shared" ca="1" si="105"/>
        <v>--</v>
      </c>
      <c r="AC71" s="9" t="str">
        <f t="shared" ca="1" si="106"/>
        <v>EXPIRED</v>
      </c>
      <c r="AD71" s="9" t="str">
        <f t="shared" ca="1" si="107"/>
        <v>--</v>
      </c>
      <c r="AE71" s="9" t="str">
        <f t="shared" ca="1" si="87"/>
        <v>EXPIRED</v>
      </c>
      <c r="AF71" s="66"/>
      <c r="AG71" s="9" t="str">
        <f t="shared" ca="1" si="66"/>
        <v>EXPIRED</v>
      </c>
      <c r="AH71" s="9" t="str">
        <f t="shared" ca="1" si="67"/>
        <v>--</v>
      </c>
      <c r="AI71" s="9" t="str">
        <f t="shared" ca="1" si="68"/>
        <v>EXPIRED</v>
      </c>
      <c r="AJ71" s="9" t="str">
        <f t="shared" ca="1" si="69"/>
        <v>--</v>
      </c>
      <c r="AK71" s="9" t="str">
        <f t="shared" ca="1" si="70"/>
        <v>EXPIRED</v>
      </c>
      <c r="AL71" s="9" t="str">
        <f t="shared" ca="1" si="71"/>
        <v>--</v>
      </c>
      <c r="AM71" s="9" t="str">
        <f t="shared" ca="1" si="88"/>
        <v>EXPIRED</v>
      </c>
      <c r="AN71" s="66"/>
      <c r="AO71" s="9" t="str">
        <f t="shared" ca="1" si="72"/>
        <v>EXPIRED</v>
      </c>
      <c r="AP71" s="9" t="str">
        <f t="shared" ca="1" si="73"/>
        <v>--</v>
      </c>
      <c r="AQ71" s="9" t="str">
        <f t="shared" ca="1" si="74"/>
        <v>EXPIRED</v>
      </c>
      <c r="AR71" s="9" t="str">
        <f t="shared" ca="1" si="75"/>
        <v>--</v>
      </c>
      <c r="AS71" s="9" t="str">
        <f t="shared" ca="1" si="76"/>
        <v>EXPIRED</v>
      </c>
      <c r="AT71" s="9" t="str">
        <f t="shared" ca="1" si="77"/>
        <v>--</v>
      </c>
      <c r="AU71" s="9" t="str">
        <f t="shared" ca="1" si="89"/>
        <v>EXPIRED</v>
      </c>
      <c r="AV71" s="66"/>
      <c r="AW71" s="9" t="str">
        <f t="shared" ca="1" si="78"/>
        <v>EXPIRED</v>
      </c>
      <c r="AX71" s="9" t="str">
        <f t="shared" ca="1" si="79"/>
        <v>--</v>
      </c>
      <c r="AY71" s="9" t="str">
        <f t="shared" ca="1" si="80"/>
        <v>EXPIRED</v>
      </c>
      <c r="AZ71" s="9" t="str">
        <f t="shared" ca="1" si="81"/>
        <v>--</v>
      </c>
      <c r="BA71" s="9" t="str">
        <f t="shared" ca="1" si="82"/>
        <v>EXPIRED</v>
      </c>
      <c r="BB71" s="9" t="str">
        <f t="shared" ca="1" si="83"/>
        <v>--</v>
      </c>
      <c r="BC71" s="9" t="str">
        <f t="shared" ca="1" si="90"/>
        <v>EXPIRED</v>
      </c>
      <c r="BD71" s="66"/>
    </row>
    <row r="72" spans="1:56" x14ac:dyDescent="0.25">
      <c r="A72" s="14">
        <f t="shared" si="108"/>
        <v>61</v>
      </c>
      <c r="B72" s="14">
        <f t="shared" si="108"/>
        <v>101</v>
      </c>
      <c r="C72" s="38">
        <f t="shared" si="4"/>
        <v>3.346651404132718</v>
      </c>
      <c r="D72" s="66"/>
      <c r="E72" s="32" t="str">
        <f t="shared" ca="1" si="92"/>
        <v>EXPIRED</v>
      </c>
      <c r="F72" s="32" t="str">
        <f t="shared" ca="1" si="93"/>
        <v>--</v>
      </c>
      <c r="G72" s="32" t="str">
        <f t="shared" ca="1" si="94"/>
        <v>EXPIRED</v>
      </c>
      <c r="H72" s="32" t="str">
        <f ca="1">IF(Message&lt;&gt;"","--",I72*(1-IF(OR(Income!P71="NA",Income!P71=0),0.2,Income!P71)))</f>
        <v>--</v>
      </c>
      <c r="I72" s="32" t="str">
        <f t="shared" ca="1" si="95"/>
        <v>EXPIRED</v>
      </c>
      <c r="J72" s="66"/>
      <c r="K72" s="74" t="str">
        <f ca="1">IF(Message&lt;&gt;"",Message,Income!M71+Dashboard!I124+Dashboard!K124-Taxes!BR77)</f>
        <v>EXPIRED</v>
      </c>
      <c r="L72" s="74" t="str">
        <f t="shared" ca="1" si="96"/>
        <v>EXPIRED</v>
      </c>
      <c r="M72" s="5" t="str">
        <f t="shared" ca="1" si="97"/>
        <v>EXPIRED</v>
      </c>
      <c r="N72" s="5" t="str">
        <f ca="1">IF(Message&lt;&gt;"",Message,MAX(MIN(Target401K*C72,SUM(Income!D71:J71),W72+K72),-I71)+IF(W72+K72&lt;0,-M72,0))</f>
        <v>EXPIRED</v>
      </c>
      <c r="O72" s="66"/>
      <c r="P72" s="71" t="str">
        <f t="shared" ca="1" si="98"/>
        <v>EXPIRED</v>
      </c>
      <c r="Q72" s="71" t="str">
        <f t="shared" ca="1" si="99"/>
        <v>EXPIRED</v>
      </c>
      <c r="R72" s="66"/>
      <c r="S72" s="9" t="str">
        <f t="shared" ca="1" si="100"/>
        <v>EXPIRED</v>
      </c>
      <c r="T72" s="9" t="str">
        <f t="shared" ca="1" si="84"/>
        <v>EXPIRED</v>
      </c>
      <c r="U72" s="9">
        <f ca="1">+Taxes!L77</f>
        <v>0</v>
      </c>
      <c r="V72" s="9" t="str">
        <f t="shared" ca="1" si="101"/>
        <v>EXPIRED</v>
      </c>
      <c r="W72" s="9" t="e">
        <f t="shared" ca="1" si="85"/>
        <v>#VALUE!</v>
      </c>
      <c r="X72" s="66"/>
      <c r="Y72" s="9" t="str">
        <f t="shared" ca="1" si="102"/>
        <v>EXPIRED</v>
      </c>
      <c r="Z72" s="9" t="str">
        <f t="shared" ca="1" si="103"/>
        <v>--</v>
      </c>
      <c r="AA72" s="9" t="str">
        <f t="shared" ca="1" si="104"/>
        <v>EXPIRED</v>
      </c>
      <c r="AB72" s="9" t="str">
        <f t="shared" ca="1" si="105"/>
        <v>--</v>
      </c>
      <c r="AC72" s="9" t="str">
        <f t="shared" ca="1" si="106"/>
        <v>EXPIRED</v>
      </c>
      <c r="AD72" s="9" t="str">
        <f t="shared" ca="1" si="107"/>
        <v>--</v>
      </c>
      <c r="AE72" s="9" t="str">
        <f t="shared" ca="1" si="87"/>
        <v>EXPIRED</v>
      </c>
      <c r="AF72" s="66"/>
      <c r="AG72" s="9" t="str">
        <f t="shared" ca="1" si="66"/>
        <v>EXPIRED</v>
      </c>
      <c r="AH72" s="9" t="str">
        <f t="shared" ca="1" si="67"/>
        <v>--</v>
      </c>
      <c r="AI72" s="9" t="str">
        <f t="shared" ca="1" si="68"/>
        <v>EXPIRED</v>
      </c>
      <c r="AJ72" s="9" t="str">
        <f t="shared" ca="1" si="69"/>
        <v>--</v>
      </c>
      <c r="AK72" s="9" t="str">
        <f t="shared" ca="1" si="70"/>
        <v>EXPIRED</v>
      </c>
      <c r="AL72" s="9" t="str">
        <f t="shared" ca="1" si="71"/>
        <v>--</v>
      </c>
      <c r="AM72" s="9" t="str">
        <f t="shared" ca="1" si="88"/>
        <v>EXPIRED</v>
      </c>
      <c r="AN72" s="66"/>
      <c r="AO72" s="9" t="str">
        <f t="shared" ca="1" si="72"/>
        <v>EXPIRED</v>
      </c>
      <c r="AP72" s="9" t="str">
        <f t="shared" ca="1" si="73"/>
        <v>--</v>
      </c>
      <c r="AQ72" s="9" t="str">
        <f t="shared" ca="1" si="74"/>
        <v>EXPIRED</v>
      </c>
      <c r="AR72" s="9" t="str">
        <f t="shared" ca="1" si="75"/>
        <v>--</v>
      </c>
      <c r="AS72" s="9" t="str">
        <f t="shared" ca="1" si="76"/>
        <v>EXPIRED</v>
      </c>
      <c r="AT72" s="9" t="str">
        <f t="shared" ca="1" si="77"/>
        <v>--</v>
      </c>
      <c r="AU72" s="9" t="str">
        <f t="shared" ca="1" si="89"/>
        <v>EXPIRED</v>
      </c>
      <c r="AV72" s="66"/>
      <c r="AW72" s="9" t="str">
        <f t="shared" ca="1" si="78"/>
        <v>EXPIRED</v>
      </c>
      <c r="AX72" s="9" t="str">
        <f t="shared" ca="1" si="79"/>
        <v>--</v>
      </c>
      <c r="AY72" s="9" t="str">
        <f t="shared" ca="1" si="80"/>
        <v>EXPIRED</v>
      </c>
      <c r="AZ72" s="9" t="str">
        <f t="shared" ca="1" si="81"/>
        <v>--</v>
      </c>
      <c r="BA72" s="9" t="str">
        <f t="shared" ca="1" si="82"/>
        <v>EXPIRED</v>
      </c>
      <c r="BB72" s="9" t="str">
        <f t="shared" ca="1" si="83"/>
        <v>--</v>
      </c>
      <c r="BC72" s="9" t="str">
        <f t="shared" ca="1" si="90"/>
        <v>EXPIRED</v>
      </c>
      <c r="BD72" s="66"/>
    </row>
    <row r="73" spans="1:56" x14ac:dyDescent="0.25">
      <c r="A73" s="14">
        <f t="shared" si="108"/>
        <v>62</v>
      </c>
      <c r="B73" s="14">
        <f t="shared" si="108"/>
        <v>102</v>
      </c>
      <c r="C73" s="38">
        <f t="shared" si="4"/>
        <v>3.4135844322153726</v>
      </c>
      <c r="D73" s="66"/>
      <c r="E73" s="32" t="str">
        <f t="shared" ca="1" si="92"/>
        <v>EXPIRED</v>
      </c>
      <c r="F73" s="32" t="str">
        <f t="shared" ca="1" si="93"/>
        <v>--</v>
      </c>
      <c r="G73" s="32" t="str">
        <f t="shared" ca="1" si="94"/>
        <v>EXPIRED</v>
      </c>
      <c r="H73" s="32" t="str">
        <f ca="1">IF(Message&lt;&gt;"","--",I73*(1-IF(OR(Income!P72="NA",Income!P72=0),0.2,Income!P72)))</f>
        <v>--</v>
      </c>
      <c r="I73" s="32" t="str">
        <f t="shared" ca="1" si="95"/>
        <v>EXPIRED</v>
      </c>
      <c r="J73" s="66"/>
      <c r="K73" s="74" t="str">
        <f ca="1">IF(Message&lt;&gt;"",Message,Income!M72+Dashboard!I125+Dashboard!K125-Taxes!BR78)</f>
        <v>EXPIRED</v>
      </c>
      <c r="L73" s="74" t="str">
        <f t="shared" ca="1" si="96"/>
        <v>EXPIRED</v>
      </c>
      <c r="M73" s="5" t="str">
        <f t="shared" ca="1" si="97"/>
        <v>EXPIRED</v>
      </c>
      <c r="N73" s="5" t="str">
        <f ca="1">IF(Message&lt;&gt;"",Message,MAX(MIN(Target401K*C73,SUM(Income!D72:J72),W73+K73),-I72)+IF(W73+K73&lt;0,-M73,0))</f>
        <v>EXPIRED</v>
      </c>
      <c r="O73" s="66"/>
      <c r="P73" s="71" t="str">
        <f t="shared" ca="1" si="98"/>
        <v>EXPIRED</v>
      </c>
      <c r="Q73" s="71" t="str">
        <f t="shared" ca="1" si="99"/>
        <v>EXPIRED</v>
      </c>
      <c r="R73" s="66"/>
      <c r="S73" s="9" t="str">
        <f t="shared" ca="1" si="100"/>
        <v>EXPIRED</v>
      </c>
      <c r="T73" s="9" t="str">
        <f t="shared" ca="1" si="84"/>
        <v>EXPIRED</v>
      </c>
      <c r="U73" s="9">
        <f ca="1">+Taxes!L78</f>
        <v>0</v>
      </c>
      <c r="V73" s="9" t="str">
        <f t="shared" ca="1" si="101"/>
        <v>EXPIRED</v>
      </c>
      <c r="W73" s="9" t="e">
        <f t="shared" ca="1" si="85"/>
        <v>#VALUE!</v>
      </c>
      <c r="X73" s="66"/>
      <c r="Y73" s="9" t="str">
        <f t="shared" ca="1" si="102"/>
        <v>EXPIRED</v>
      </c>
      <c r="Z73" s="9" t="str">
        <f t="shared" ca="1" si="103"/>
        <v>--</v>
      </c>
      <c r="AA73" s="9" t="str">
        <f t="shared" ca="1" si="104"/>
        <v>EXPIRED</v>
      </c>
      <c r="AB73" s="9" t="str">
        <f t="shared" ca="1" si="105"/>
        <v>--</v>
      </c>
      <c r="AC73" s="9" t="str">
        <f t="shared" ca="1" si="106"/>
        <v>EXPIRED</v>
      </c>
      <c r="AD73" s="9" t="str">
        <f t="shared" ca="1" si="107"/>
        <v>--</v>
      </c>
      <c r="AE73" s="9" t="str">
        <f t="shared" ca="1" si="87"/>
        <v>EXPIRED</v>
      </c>
      <c r="AF73" s="66"/>
      <c r="AG73" s="9" t="str">
        <f t="shared" ca="1" si="66"/>
        <v>EXPIRED</v>
      </c>
      <c r="AH73" s="9" t="str">
        <f t="shared" ca="1" si="67"/>
        <v>--</v>
      </c>
      <c r="AI73" s="9" t="str">
        <f t="shared" ca="1" si="68"/>
        <v>EXPIRED</v>
      </c>
      <c r="AJ73" s="9" t="str">
        <f t="shared" ca="1" si="69"/>
        <v>--</v>
      </c>
      <c r="AK73" s="9" t="str">
        <f t="shared" ca="1" si="70"/>
        <v>EXPIRED</v>
      </c>
      <c r="AL73" s="9" t="str">
        <f t="shared" ca="1" si="71"/>
        <v>--</v>
      </c>
      <c r="AM73" s="9" t="str">
        <f t="shared" ca="1" si="88"/>
        <v>EXPIRED</v>
      </c>
      <c r="AN73" s="66"/>
      <c r="AO73" s="9" t="str">
        <f t="shared" ca="1" si="72"/>
        <v>EXPIRED</v>
      </c>
      <c r="AP73" s="9" t="str">
        <f t="shared" ca="1" si="73"/>
        <v>--</v>
      </c>
      <c r="AQ73" s="9" t="str">
        <f t="shared" ca="1" si="74"/>
        <v>EXPIRED</v>
      </c>
      <c r="AR73" s="9" t="str">
        <f t="shared" ca="1" si="75"/>
        <v>--</v>
      </c>
      <c r="AS73" s="9" t="str">
        <f t="shared" ca="1" si="76"/>
        <v>EXPIRED</v>
      </c>
      <c r="AT73" s="9" t="str">
        <f t="shared" ca="1" si="77"/>
        <v>--</v>
      </c>
      <c r="AU73" s="9" t="str">
        <f t="shared" ca="1" si="89"/>
        <v>EXPIRED</v>
      </c>
      <c r="AV73" s="66"/>
      <c r="AW73" s="9" t="str">
        <f t="shared" ca="1" si="78"/>
        <v>EXPIRED</v>
      </c>
      <c r="AX73" s="9" t="str">
        <f t="shared" ca="1" si="79"/>
        <v>--</v>
      </c>
      <c r="AY73" s="9" t="str">
        <f t="shared" ca="1" si="80"/>
        <v>EXPIRED</v>
      </c>
      <c r="AZ73" s="9" t="str">
        <f t="shared" ca="1" si="81"/>
        <v>--</v>
      </c>
      <c r="BA73" s="9" t="str">
        <f t="shared" ca="1" si="82"/>
        <v>EXPIRED</v>
      </c>
      <c r="BB73" s="9" t="str">
        <f t="shared" ca="1" si="83"/>
        <v>--</v>
      </c>
      <c r="BC73" s="9" t="str">
        <f t="shared" ca="1" si="90"/>
        <v>EXPIRED</v>
      </c>
      <c r="BD73" s="66"/>
    </row>
    <row r="74" spans="1:56" x14ac:dyDescent="0.25">
      <c r="A74" s="14">
        <f t="shared" si="108"/>
        <v>63</v>
      </c>
      <c r="B74" s="14">
        <f t="shared" si="108"/>
        <v>103</v>
      </c>
      <c r="C74" s="38">
        <f t="shared" si="4"/>
        <v>3.4818561208596792</v>
      </c>
      <c r="D74" s="66"/>
      <c r="E74" s="32" t="str">
        <f t="shared" ca="1" si="92"/>
        <v>EXPIRED</v>
      </c>
      <c r="F74" s="32" t="str">
        <f t="shared" ca="1" si="93"/>
        <v>--</v>
      </c>
      <c r="G74" s="32" t="str">
        <f t="shared" ca="1" si="94"/>
        <v>EXPIRED</v>
      </c>
      <c r="H74" s="32" t="str">
        <f ca="1">IF(Message&lt;&gt;"","--",I74*(1-IF(OR(Income!P73="NA",Income!P73=0),0.2,Income!P73)))</f>
        <v>--</v>
      </c>
      <c r="I74" s="32" t="str">
        <f t="shared" ca="1" si="95"/>
        <v>EXPIRED</v>
      </c>
      <c r="J74" s="66"/>
      <c r="K74" s="74" t="str">
        <f ca="1">IF(Message&lt;&gt;"",Message,Income!M73+Dashboard!I126+Dashboard!K126-Taxes!BR79)</f>
        <v>EXPIRED</v>
      </c>
      <c r="L74" s="74" t="str">
        <f t="shared" ca="1" si="96"/>
        <v>EXPIRED</v>
      </c>
      <c r="M74" s="5" t="str">
        <f t="shared" ca="1" si="97"/>
        <v>EXPIRED</v>
      </c>
      <c r="N74" s="5" t="str">
        <f ca="1">IF(Message&lt;&gt;"",Message,MAX(MIN(Target401K*C74,SUM(Income!D73:J73),W74+K74),-I73)+IF(W74+K74&lt;0,-M74,0))</f>
        <v>EXPIRED</v>
      </c>
      <c r="O74" s="66"/>
      <c r="P74" s="71" t="str">
        <f t="shared" ca="1" si="98"/>
        <v>EXPIRED</v>
      </c>
      <c r="Q74" s="71" t="str">
        <f t="shared" ca="1" si="99"/>
        <v>EXPIRED</v>
      </c>
      <c r="R74" s="66"/>
      <c r="S74" s="9" t="str">
        <f t="shared" ca="1" si="100"/>
        <v>EXPIRED</v>
      </c>
      <c r="T74" s="9" t="str">
        <f t="shared" ca="1" si="84"/>
        <v>EXPIRED</v>
      </c>
      <c r="U74" s="9">
        <f ca="1">+Taxes!L79</f>
        <v>0</v>
      </c>
      <c r="V74" s="9" t="str">
        <f t="shared" ca="1" si="101"/>
        <v>EXPIRED</v>
      </c>
      <c r="W74" s="9" t="e">
        <f t="shared" ca="1" si="85"/>
        <v>#VALUE!</v>
      </c>
      <c r="X74" s="66"/>
      <c r="Y74" s="9" t="str">
        <f t="shared" ca="1" si="102"/>
        <v>EXPIRED</v>
      </c>
      <c r="Z74" s="9" t="str">
        <f t="shared" ca="1" si="103"/>
        <v>--</v>
      </c>
      <c r="AA74" s="9" t="str">
        <f t="shared" ca="1" si="104"/>
        <v>EXPIRED</v>
      </c>
      <c r="AB74" s="9" t="str">
        <f t="shared" ca="1" si="105"/>
        <v>--</v>
      </c>
      <c r="AC74" s="9" t="str">
        <f t="shared" ca="1" si="106"/>
        <v>EXPIRED</v>
      </c>
      <c r="AD74" s="9" t="str">
        <f t="shared" ca="1" si="107"/>
        <v>--</v>
      </c>
      <c r="AE74" s="9" t="str">
        <f t="shared" ca="1" si="87"/>
        <v>EXPIRED</v>
      </c>
      <c r="AF74" s="66"/>
      <c r="AG74" s="9" t="str">
        <f t="shared" ca="1" si="66"/>
        <v>EXPIRED</v>
      </c>
      <c r="AH74" s="9" t="str">
        <f t="shared" ca="1" si="67"/>
        <v>--</v>
      </c>
      <c r="AI74" s="9" t="str">
        <f t="shared" ca="1" si="68"/>
        <v>EXPIRED</v>
      </c>
      <c r="AJ74" s="9" t="str">
        <f t="shared" ca="1" si="69"/>
        <v>--</v>
      </c>
      <c r="AK74" s="9" t="str">
        <f t="shared" ca="1" si="70"/>
        <v>EXPIRED</v>
      </c>
      <c r="AL74" s="9" t="str">
        <f t="shared" ca="1" si="71"/>
        <v>--</v>
      </c>
      <c r="AM74" s="9" t="str">
        <f t="shared" ca="1" si="88"/>
        <v>EXPIRED</v>
      </c>
      <c r="AN74" s="66"/>
      <c r="AO74" s="9" t="str">
        <f t="shared" ca="1" si="72"/>
        <v>EXPIRED</v>
      </c>
      <c r="AP74" s="9" t="str">
        <f t="shared" ca="1" si="73"/>
        <v>--</v>
      </c>
      <c r="AQ74" s="9" t="str">
        <f t="shared" ca="1" si="74"/>
        <v>EXPIRED</v>
      </c>
      <c r="AR74" s="9" t="str">
        <f t="shared" ca="1" si="75"/>
        <v>--</v>
      </c>
      <c r="AS74" s="9" t="str">
        <f t="shared" ca="1" si="76"/>
        <v>EXPIRED</v>
      </c>
      <c r="AT74" s="9" t="str">
        <f t="shared" ca="1" si="77"/>
        <v>--</v>
      </c>
      <c r="AU74" s="9" t="str">
        <f t="shared" ca="1" si="89"/>
        <v>EXPIRED</v>
      </c>
      <c r="AV74" s="66"/>
      <c r="AW74" s="9" t="str">
        <f t="shared" ca="1" si="78"/>
        <v>EXPIRED</v>
      </c>
      <c r="AX74" s="9" t="str">
        <f t="shared" ca="1" si="79"/>
        <v>--</v>
      </c>
      <c r="AY74" s="9" t="str">
        <f t="shared" ca="1" si="80"/>
        <v>EXPIRED</v>
      </c>
      <c r="AZ74" s="9" t="str">
        <f t="shared" ca="1" si="81"/>
        <v>--</v>
      </c>
      <c r="BA74" s="9" t="str">
        <f t="shared" ca="1" si="82"/>
        <v>EXPIRED</v>
      </c>
      <c r="BB74" s="9" t="str">
        <f t="shared" ca="1" si="83"/>
        <v>--</v>
      </c>
      <c r="BC74" s="9" t="str">
        <f t="shared" ca="1" si="90"/>
        <v>EXPIRED</v>
      </c>
      <c r="BD74" s="66"/>
    </row>
    <row r="75" spans="1:56" x14ac:dyDescent="0.25">
      <c r="A75" s="14">
        <f t="shared" si="108"/>
        <v>64</v>
      </c>
      <c r="B75" s="14">
        <f t="shared" si="108"/>
        <v>104</v>
      </c>
      <c r="C75" s="38">
        <f t="shared" ref="C75:C111" si="109">+(1+inflation)^A75</f>
        <v>3.5514932432768735</v>
      </c>
      <c r="D75" s="66"/>
      <c r="E75" s="32" t="str">
        <f t="shared" ca="1" si="92"/>
        <v>EXPIRED</v>
      </c>
      <c r="F75" s="32" t="str">
        <f t="shared" ca="1" si="93"/>
        <v>--</v>
      </c>
      <c r="G75" s="32" t="str">
        <f t="shared" ca="1" si="94"/>
        <v>EXPIRED</v>
      </c>
      <c r="H75" s="32" t="str">
        <f ca="1">IF(Message&lt;&gt;"","--",I75*(1-IF(OR(Income!P74="NA",Income!P74=0),0.2,Income!P74)))</f>
        <v>--</v>
      </c>
      <c r="I75" s="32" t="str">
        <f t="shared" ca="1" si="95"/>
        <v>EXPIRED</v>
      </c>
      <c r="J75" s="66"/>
      <c r="K75" s="74" t="str">
        <f ca="1">IF(Message&lt;&gt;"",Message,Income!M74+Dashboard!I127+Dashboard!K127-Taxes!BR80)</f>
        <v>EXPIRED</v>
      </c>
      <c r="L75" s="74" t="str">
        <f t="shared" ca="1" si="96"/>
        <v>EXPIRED</v>
      </c>
      <c r="M75" s="5" t="str">
        <f t="shared" ca="1" si="97"/>
        <v>EXPIRED</v>
      </c>
      <c r="N75" s="5" t="str">
        <f ca="1">IF(Message&lt;&gt;"",Message,MAX(MIN(Target401K*C75,SUM(Income!D74:J74),W75+K75),-I74)+IF(W75+K75&lt;0,-M75,0))</f>
        <v>EXPIRED</v>
      </c>
      <c r="O75" s="66"/>
      <c r="P75" s="71" t="str">
        <f t="shared" ca="1" si="98"/>
        <v>EXPIRED</v>
      </c>
      <c r="Q75" s="71" t="str">
        <f t="shared" ca="1" si="99"/>
        <v>EXPIRED</v>
      </c>
      <c r="R75" s="66"/>
      <c r="S75" s="9" t="str">
        <f t="shared" ca="1" si="100"/>
        <v>EXPIRED</v>
      </c>
      <c r="T75" s="9" t="str">
        <f t="shared" ca="1" si="84"/>
        <v>EXPIRED</v>
      </c>
      <c r="U75" s="9">
        <f ca="1">+Taxes!L80</f>
        <v>0</v>
      </c>
      <c r="V75" s="9" t="str">
        <f t="shared" ca="1" si="101"/>
        <v>EXPIRED</v>
      </c>
      <c r="W75" s="9" t="e">
        <f t="shared" ca="1" si="85"/>
        <v>#VALUE!</v>
      </c>
      <c r="X75" s="66"/>
      <c r="Y75" s="9" t="str">
        <f t="shared" ca="1" si="102"/>
        <v>EXPIRED</v>
      </c>
      <c r="Z75" s="9" t="str">
        <f t="shared" ca="1" si="103"/>
        <v>--</v>
      </c>
      <c r="AA75" s="9" t="str">
        <f t="shared" ca="1" si="104"/>
        <v>EXPIRED</v>
      </c>
      <c r="AB75" s="9" t="str">
        <f t="shared" ca="1" si="105"/>
        <v>--</v>
      </c>
      <c r="AC75" s="9" t="str">
        <f t="shared" ca="1" si="106"/>
        <v>EXPIRED</v>
      </c>
      <c r="AD75" s="9" t="str">
        <f t="shared" ca="1" si="107"/>
        <v>--</v>
      </c>
      <c r="AE75" s="9" t="str">
        <f t="shared" ca="1" si="87"/>
        <v>EXPIRED</v>
      </c>
      <c r="AF75" s="66"/>
      <c r="AG75" s="9" t="str">
        <f t="shared" ca="1" si="66"/>
        <v>EXPIRED</v>
      </c>
      <c r="AH75" s="9" t="str">
        <f t="shared" ca="1" si="67"/>
        <v>--</v>
      </c>
      <c r="AI75" s="9" t="str">
        <f t="shared" ca="1" si="68"/>
        <v>EXPIRED</v>
      </c>
      <c r="AJ75" s="9" t="str">
        <f t="shared" ca="1" si="69"/>
        <v>--</v>
      </c>
      <c r="AK75" s="9" t="str">
        <f t="shared" ca="1" si="70"/>
        <v>EXPIRED</v>
      </c>
      <c r="AL75" s="9" t="str">
        <f t="shared" ca="1" si="71"/>
        <v>--</v>
      </c>
      <c r="AM75" s="9" t="str">
        <f t="shared" ca="1" si="88"/>
        <v>EXPIRED</v>
      </c>
      <c r="AN75" s="66"/>
      <c r="AO75" s="9" t="str">
        <f t="shared" ca="1" si="72"/>
        <v>EXPIRED</v>
      </c>
      <c r="AP75" s="9" t="str">
        <f t="shared" ca="1" si="73"/>
        <v>--</v>
      </c>
      <c r="AQ75" s="9" t="str">
        <f t="shared" ca="1" si="74"/>
        <v>EXPIRED</v>
      </c>
      <c r="AR75" s="9" t="str">
        <f t="shared" ca="1" si="75"/>
        <v>--</v>
      </c>
      <c r="AS75" s="9" t="str">
        <f t="shared" ca="1" si="76"/>
        <v>EXPIRED</v>
      </c>
      <c r="AT75" s="9" t="str">
        <f t="shared" ca="1" si="77"/>
        <v>--</v>
      </c>
      <c r="AU75" s="9" t="str">
        <f t="shared" ca="1" si="89"/>
        <v>EXPIRED</v>
      </c>
      <c r="AV75" s="66"/>
      <c r="AW75" s="9" t="str">
        <f t="shared" ca="1" si="78"/>
        <v>EXPIRED</v>
      </c>
      <c r="AX75" s="9" t="str">
        <f t="shared" ca="1" si="79"/>
        <v>--</v>
      </c>
      <c r="AY75" s="9" t="str">
        <f t="shared" ca="1" si="80"/>
        <v>EXPIRED</v>
      </c>
      <c r="AZ75" s="9" t="str">
        <f t="shared" ca="1" si="81"/>
        <v>--</v>
      </c>
      <c r="BA75" s="9" t="str">
        <f t="shared" ca="1" si="82"/>
        <v>EXPIRED</v>
      </c>
      <c r="BB75" s="9" t="str">
        <f t="shared" ca="1" si="83"/>
        <v>--</v>
      </c>
      <c r="BC75" s="9" t="str">
        <f t="shared" ca="1" si="90"/>
        <v>EXPIRED</v>
      </c>
      <c r="BD75" s="66"/>
    </row>
    <row r="76" spans="1:56" x14ac:dyDescent="0.25">
      <c r="A76" s="14">
        <f t="shared" si="108"/>
        <v>65</v>
      </c>
      <c r="B76" s="14">
        <f t="shared" si="108"/>
        <v>105</v>
      </c>
      <c r="C76" s="38">
        <f t="shared" si="109"/>
        <v>3.6225231081424112</v>
      </c>
      <c r="D76" s="66"/>
      <c r="E76" s="32" t="str">
        <f t="shared" ca="1" si="92"/>
        <v>EXPIRED</v>
      </c>
      <c r="F76" s="32" t="str">
        <f t="shared" ca="1" si="93"/>
        <v>--</v>
      </c>
      <c r="G76" s="32" t="str">
        <f t="shared" ca="1" si="94"/>
        <v>EXPIRED</v>
      </c>
      <c r="H76" s="32" t="str">
        <f ca="1">IF(Message&lt;&gt;"","--",I76*(1-IF(OR(Income!P75="NA",Income!P75=0),0.2,Income!P75)))</f>
        <v>--</v>
      </c>
      <c r="I76" s="32" t="str">
        <f t="shared" ca="1" si="95"/>
        <v>EXPIRED</v>
      </c>
      <c r="J76" s="66"/>
      <c r="K76" s="74" t="str">
        <f ca="1">IF(Message&lt;&gt;"",Message,Income!M75+Dashboard!I128+Dashboard!K128-Taxes!BR81)</f>
        <v>EXPIRED</v>
      </c>
      <c r="L76" s="74" t="str">
        <f t="shared" ca="1" si="96"/>
        <v>EXPIRED</v>
      </c>
      <c r="M76" s="5" t="str">
        <f t="shared" ca="1" si="97"/>
        <v>EXPIRED</v>
      </c>
      <c r="N76" s="5" t="str">
        <f ca="1">IF(Message&lt;&gt;"",Message,MAX(MIN(Target401K*C76,SUM(Income!D75:J75),W76+K76),-I75)+IF(W76+K76&lt;0,-M76,0))</f>
        <v>EXPIRED</v>
      </c>
      <c r="O76" s="66"/>
      <c r="P76" s="71" t="str">
        <f t="shared" ca="1" si="98"/>
        <v>EXPIRED</v>
      </c>
      <c r="Q76" s="71" t="str">
        <f t="shared" ca="1" si="99"/>
        <v>EXPIRED</v>
      </c>
      <c r="R76" s="66"/>
      <c r="S76" s="9" t="str">
        <f t="shared" ca="1" si="100"/>
        <v>EXPIRED</v>
      </c>
      <c r="T76" s="9" t="str">
        <f t="shared" ca="1" si="84"/>
        <v>EXPIRED</v>
      </c>
      <c r="U76" s="9">
        <f ca="1">+Taxes!L81</f>
        <v>0</v>
      </c>
      <c r="V76" s="9" t="str">
        <f t="shared" ca="1" si="101"/>
        <v>EXPIRED</v>
      </c>
      <c r="W76" s="9" t="e">
        <f t="shared" ca="1" si="85"/>
        <v>#VALUE!</v>
      </c>
      <c r="X76" s="66"/>
      <c r="Y76" s="9" t="str">
        <f t="shared" ca="1" si="102"/>
        <v>EXPIRED</v>
      </c>
      <c r="Z76" s="9" t="str">
        <f t="shared" ca="1" si="103"/>
        <v>--</v>
      </c>
      <c r="AA76" s="9" t="str">
        <f t="shared" ca="1" si="104"/>
        <v>EXPIRED</v>
      </c>
      <c r="AB76" s="9" t="str">
        <f t="shared" ca="1" si="105"/>
        <v>--</v>
      </c>
      <c r="AC76" s="9" t="str">
        <f t="shared" ca="1" si="106"/>
        <v>EXPIRED</v>
      </c>
      <c r="AD76" s="9" t="str">
        <f t="shared" ca="1" si="107"/>
        <v>--</v>
      </c>
      <c r="AE76" s="9" t="str">
        <f t="shared" ref="AE76:AE107" ca="1" si="110">IF(Message&lt;&gt;"",Message,IF(AA76*AD76=0,0,+IF(AB76&lt;0,-AB76/AA76*AD76,0)))</f>
        <v>EXPIRED</v>
      </c>
      <c r="AF76" s="66"/>
      <c r="AG76" s="9" t="str">
        <f t="shared" ca="1" si="66"/>
        <v>EXPIRED</v>
      </c>
      <c r="AH76" s="9" t="str">
        <f t="shared" ca="1" si="67"/>
        <v>--</v>
      </c>
      <c r="AI76" s="9" t="str">
        <f t="shared" ca="1" si="68"/>
        <v>EXPIRED</v>
      </c>
      <c r="AJ76" s="9" t="str">
        <f t="shared" ca="1" si="69"/>
        <v>--</v>
      </c>
      <c r="AK76" s="9" t="str">
        <f t="shared" ca="1" si="70"/>
        <v>EXPIRED</v>
      </c>
      <c r="AL76" s="9" t="str">
        <f t="shared" ca="1" si="71"/>
        <v>--</v>
      </c>
      <c r="AM76" s="9" t="str">
        <f t="shared" ref="AM76:AM107" ca="1" si="111">IF(Message&lt;&gt;"",Message,IF(AI76*AL76=0,0,+IF(AJ76&lt;0,-AJ76/AI76*AL76,0)))</f>
        <v>EXPIRED</v>
      </c>
      <c r="AN76" s="66"/>
      <c r="AO76" s="9" t="str">
        <f t="shared" ca="1" si="72"/>
        <v>EXPIRED</v>
      </c>
      <c r="AP76" s="9" t="str">
        <f t="shared" ca="1" si="73"/>
        <v>--</v>
      </c>
      <c r="AQ76" s="9" t="str">
        <f t="shared" ca="1" si="74"/>
        <v>EXPIRED</v>
      </c>
      <c r="AR76" s="9" t="str">
        <f t="shared" ca="1" si="75"/>
        <v>--</v>
      </c>
      <c r="AS76" s="9" t="str">
        <f t="shared" ca="1" si="76"/>
        <v>EXPIRED</v>
      </c>
      <c r="AT76" s="9" t="str">
        <f t="shared" ca="1" si="77"/>
        <v>--</v>
      </c>
      <c r="AU76" s="9" t="str">
        <f t="shared" ref="AU76:AU107" ca="1" si="112">IF(Message&lt;&gt;"",Message,IF(AQ76*AT76=0,0,+IF(AR76&lt;0,-AR76/AQ76*AT76,0)))</f>
        <v>EXPIRED</v>
      </c>
      <c r="AV76" s="66"/>
      <c r="AW76" s="9" t="str">
        <f t="shared" ca="1" si="78"/>
        <v>EXPIRED</v>
      </c>
      <c r="AX76" s="9" t="str">
        <f t="shared" ca="1" si="79"/>
        <v>--</v>
      </c>
      <c r="AY76" s="9" t="str">
        <f t="shared" ca="1" si="80"/>
        <v>EXPIRED</v>
      </c>
      <c r="AZ76" s="9" t="str">
        <f t="shared" ca="1" si="81"/>
        <v>--</v>
      </c>
      <c r="BA76" s="9" t="str">
        <f t="shared" ca="1" si="82"/>
        <v>EXPIRED</v>
      </c>
      <c r="BB76" s="9" t="str">
        <f t="shared" ca="1" si="83"/>
        <v>--</v>
      </c>
      <c r="BC76" s="9" t="str">
        <f t="shared" ref="BC76:BC107" ca="1" si="113">IF(Message&lt;&gt;"",Message,IF(AY76*BB76=0,0,+IF(AZ76&lt;0,-AZ76/AY76*BB76,0)))</f>
        <v>EXPIRED</v>
      </c>
      <c r="BD76" s="66"/>
    </row>
    <row r="77" spans="1:56" x14ac:dyDescent="0.25">
      <c r="A77" s="14">
        <f t="shared" ref="A77:B92" si="114">+A76+1</f>
        <v>66</v>
      </c>
      <c r="B77" s="14">
        <f t="shared" si="114"/>
        <v>106</v>
      </c>
      <c r="C77" s="38">
        <f t="shared" si="109"/>
        <v>3.6949735703052591</v>
      </c>
      <c r="D77" s="66"/>
      <c r="E77" s="32" t="str">
        <f t="shared" ca="1" si="92"/>
        <v>EXPIRED</v>
      </c>
      <c r="F77" s="32" t="str">
        <f t="shared" ca="1" si="93"/>
        <v>--</v>
      </c>
      <c r="G77" s="32" t="str">
        <f t="shared" ca="1" si="94"/>
        <v>EXPIRED</v>
      </c>
      <c r="H77" s="32" t="str">
        <f ca="1">IF(Message&lt;&gt;"","--",I77*(1-IF(OR(Income!P76="NA",Income!P76=0),0.2,Income!P76)))</f>
        <v>--</v>
      </c>
      <c r="I77" s="32" t="str">
        <f t="shared" ca="1" si="95"/>
        <v>EXPIRED</v>
      </c>
      <c r="J77" s="66"/>
      <c r="K77" s="74" t="str">
        <f ca="1">IF(Message&lt;&gt;"",Message,Income!M76+Dashboard!I129+Dashboard!K129-Taxes!BR82)</f>
        <v>EXPIRED</v>
      </c>
      <c r="L77" s="74" t="str">
        <f t="shared" ca="1" si="96"/>
        <v>EXPIRED</v>
      </c>
      <c r="M77" s="5" t="str">
        <f t="shared" ca="1" si="97"/>
        <v>EXPIRED</v>
      </c>
      <c r="N77" s="5" t="str">
        <f ca="1">IF(Message&lt;&gt;"",Message,MAX(MIN(Target401K*C77,SUM(Income!D76:J76),W77+K77),-I76)+IF(W77+K77&lt;0,-M77,0))</f>
        <v>EXPIRED</v>
      </c>
      <c r="O77" s="66"/>
      <c r="P77" s="71" t="str">
        <f t="shared" ca="1" si="98"/>
        <v>EXPIRED</v>
      </c>
      <c r="Q77" s="71" t="str">
        <f t="shared" ca="1" si="99"/>
        <v>EXPIRED</v>
      </c>
      <c r="R77" s="66"/>
      <c r="S77" s="9" t="str">
        <f t="shared" ca="1" si="100"/>
        <v>EXPIRED</v>
      </c>
      <c r="T77" s="9" t="str">
        <f t="shared" ca="1" si="84"/>
        <v>EXPIRED</v>
      </c>
      <c r="U77" s="9">
        <f ca="1">+Taxes!L82</f>
        <v>0</v>
      </c>
      <c r="V77" s="9" t="str">
        <f t="shared" ca="1" si="101"/>
        <v>EXPIRED</v>
      </c>
      <c r="W77" s="9" t="e">
        <f t="shared" ca="1" si="85"/>
        <v>#VALUE!</v>
      </c>
      <c r="X77" s="66"/>
      <c r="Y77" s="9" t="str">
        <f t="shared" ca="1" si="102"/>
        <v>EXPIRED</v>
      </c>
      <c r="Z77" s="9" t="str">
        <f t="shared" ca="1" si="103"/>
        <v>--</v>
      </c>
      <c r="AA77" s="9" t="str">
        <f t="shared" ca="1" si="104"/>
        <v>EXPIRED</v>
      </c>
      <c r="AB77" s="9" t="str">
        <f t="shared" ca="1" si="105"/>
        <v>--</v>
      </c>
      <c r="AC77" s="9" t="str">
        <f t="shared" ca="1" si="106"/>
        <v>EXPIRED</v>
      </c>
      <c r="AD77" s="9" t="str">
        <f t="shared" ca="1" si="107"/>
        <v>--</v>
      </c>
      <c r="AE77" s="9" t="str">
        <f t="shared" ca="1" si="110"/>
        <v>EXPIRED</v>
      </c>
      <c r="AF77" s="66"/>
      <c r="AG77" s="9" t="str">
        <f t="shared" ca="1" si="66"/>
        <v>EXPIRED</v>
      </c>
      <c r="AH77" s="9" t="str">
        <f t="shared" ca="1" si="67"/>
        <v>--</v>
      </c>
      <c r="AI77" s="9" t="str">
        <f t="shared" ca="1" si="68"/>
        <v>EXPIRED</v>
      </c>
      <c r="AJ77" s="9" t="str">
        <f t="shared" ca="1" si="69"/>
        <v>--</v>
      </c>
      <c r="AK77" s="9" t="str">
        <f t="shared" ca="1" si="70"/>
        <v>EXPIRED</v>
      </c>
      <c r="AL77" s="9" t="str">
        <f t="shared" ca="1" si="71"/>
        <v>--</v>
      </c>
      <c r="AM77" s="9" t="str">
        <f t="shared" ca="1" si="111"/>
        <v>EXPIRED</v>
      </c>
      <c r="AN77" s="66"/>
      <c r="AO77" s="9" t="str">
        <f t="shared" ca="1" si="72"/>
        <v>EXPIRED</v>
      </c>
      <c r="AP77" s="9" t="str">
        <f t="shared" ca="1" si="73"/>
        <v>--</v>
      </c>
      <c r="AQ77" s="9" t="str">
        <f t="shared" ca="1" si="74"/>
        <v>EXPIRED</v>
      </c>
      <c r="AR77" s="9" t="str">
        <f t="shared" ca="1" si="75"/>
        <v>--</v>
      </c>
      <c r="AS77" s="9" t="str">
        <f t="shared" ca="1" si="76"/>
        <v>EXPIRED</v>
      </c>
      <c r="AT77" s="9" t="str">
        <f t="shared" ca="1" si="77"/>
        <v>--</v>
      </c>
      <c r="AU77" s="9" t="str">
        <f t="shared" ca="1" si="112"/>
        <v>EXPIRED</v>
      </c>
      <c r="AV77" s="66"/>
      <c r="AW77" s="9" t="str">
        <f t="shared" ca="1" si="78"/>
        <v>EXPIRED</v>
      </c>
      <c r="AX77" s="9" t="str">
        <f t="shared" ca="1" si="79"/>
        <v>--</v>
      </c>
      <c r="AY77" s="9" t="str">
        <f t="shared" ca="1" si="80"/>
        <v>EXPIRED</v>
      </c>
      <c r="AZ77" s="9" t="str">
        <f t="shared" ca="1" si="81"/>
        <v>--</v>
      </c>
      <c r="BA77" s="9" t="str">
        <f t="shared" ca="1" si="82"/>
        <v>EXPIRED</v>
      </c>
      <c r="BB77" s="9" t="str">
        <f t="shared" ca="1" si="83"/>
        <v>--</v>
      </c>
      <c r="BC77" s="9" t="str">
        <f t="shared" ca="1" si="113"/>
        <v>EXPIRED</v>
      </c>
      <c r="BD77" s="66"/>
    </row>
    <row r="78" spans="1:56" x14ac:dyDescent="0.25">
      <c r="A78" s="14">
        <f t="shared" si="114"/>
        <v>67</v>
      </c>
      <c r="B78" s="14">
        <f t="shared" si="114"/>
        <v>107</v>
      </c>
      <c r="C78" s="38">
        <f t="shared" si="109"/>
        <v>3.7688730417113643</v>
      </c>
      <c r="D78" s="66"/>
      <c r="E78" s="32" t="str">
        <f t="shared" ca="1" si="92"/>
        <v>EXPIRED</v>
      </c>
      <c r="F78" s="32" t="str">
        <f t="shared" ca="1" si="93"/>
        <v>--</v>
      </c>
      <c r="G78" s="32" t="str">
        <f t="shared" ca="1" si="94"/>
        <v>EXPIRED</v>
      </c>
      <c r="H78" s="32" t="str">
        <f ca="1">IF(Message&lt;&gt;"","--",I78*(1-IF(OR(Income!P77="NA",Income!P77=0),0.2,Income!P77)))</f>
        <v>--</v>
      </c>
      <c r="I78" s="32" t="str">
        <f t="shared" ca="1" si="95"/>
        <v>EXPIRED</v>
      </c>
      <c r="J78" s="66"/>
      <c r="K78" s="74" t="str">
        <f ca="1">IF(Message&lt;&gt;"",Message,Income!M77+Dashboard!I130+Dashboard!K130-Taxes!BR83)</f>
        <v>EXPIRED</v>
      </c>
      <c r="L78" s="74" t="str">
        <f t="shared" ca="1" si="96"/>
        <v>EXPIRED</v>
      </c>
      <c r="M78" s="5" t="str">
        <f t="shared" ca="1" si="97"/>
        <v>EXPIRED</v>
      </c>
      <c r="N78" s="5" t="str">
        <f ca="1">IF(Message&lt;&gt;"",Message,MAX(MIN(Target401K*C78,SUM(Income!D77:J77),W78+K78),-I77)+IF(W78+K78&lt;0,-M78,0))</f>
        <v>EXPIRED</v>
      </c>
      <c r="O78" s="66"/>
      <c r="P78" s="71" t="str">
        <f t="shared" ca="1" si="98"/>
        <v>EXPIRED</v>
      </c>
      <c r="Q78" s="71" t="str">
        <f t="shared" ca="1" si="99"/>
        <v>EXPIRED</v>
      </c>
      <c r="R78" s="66"/>
      <c r="S78" s="9" t="str">
        <f t="shared" ca="1" si="100"/>
        <v>EXPIRED</v>
      </c>
      <c r="T78" s="9" t="str">
        <f t="shared" ca="1" si="84"/>
        <v>EXPIRED</v>
      </c>
      <c r="U78" s="9">
        <f ca="1">+Taxes!L83</f>
        <v>0</v>
      </c>
      <c r="V78" s="9" t="str">
        <f t="shared" ca="1" si="101"/>
        <v>EXPIRED</v>
      </c>
      <c r="W78" s="9" t="e">
        <f t="shared" ca="1" si="85"/>
        <v>#VALUE!</v>
      </c>
      <c r="X78" s="66"/>
      <c r="Y78" s="9" t="str">
        <f t="shared" ca="1" si="102"/>
        <v>EXPIRED</v>
      </c>
      <c r="Z78" s="9" t="str">
        <f t="shared" ca="1" si="103"/>
        <v>--</v>
      </c>
      <c r="AA78" s="9" t="str">
        <f t="shared" ca="1" si="104"/>
        <v>EXPIRED</v>
      </c>
      <c r="AB78" s="9" t="str">
        <f t="shared" ca="1" si="105"/>
        <v>--</v>
      </c>
      <c r="AC78" s="9" t="str">
        <f t="shared" ca="1" si="106"/>
        <v>EXPIRED</v>
      </c>
      <c r="AD78" s="9" t="str">
        <f t="shared" ca="1" si="107"/>
        <v>--</v>
      </c>
      <c r="AE78" s="9" t="str">
        <f t="shared" ca="1" si="110"/>
        <v>EXPIRED</v>
      </c>
      <c r="AF78" s="66"/>
      <c r="AG78" s="9" t="str">
        <f t="shared" ca="1" si="66"/>
        <v>EXPIRED</v>
      </c>
      <c r="AH78" s="9" t="str">
        <f t="shared" ca="1" si="67"/>
        <v>--</v>
      </c>
      <c r="AI78" s="9" t="str">
        <f t="shared" ca="1" si="68"/>
        <v>EXPIRED</v>
      </c>
      <c r="AJ78" s="9" t="str">
        <f t="shared" ca="1" si="69"/>
        <v>--</v>
      </c>
      <c r="AK78" s="9" t="str">
        <f t="shared" ca="1" si="70"/>
        <v>EXPIRED</v>
      </c>
      <c r="AL78" s="9" t="str">
        <f t="shared" ca="1" si="71"/>
        <v>--</v>
      </c>
      <c r="AM78" s="9" t="str">
        <f t="shared" ca="1" si="111"/>
        <v>EXPIRED</v>
      </c>
      <c r="AN78" s="66"/>
      <c r="AO78" s="9" t="str">
        <f t="shared" ca="1" si="72"/>
        <v>EXPIRED</v>
      </c>
      <c r="AP78" s="9" t="str">
        <f t="shared" ca="1" si="73"/>
        <v>--</v>
      </c>
      <c r="AQ78" s="9" t="str">
        <f t="shared" ca="1" si="74"/>
        <v>EXPIRED</v>
      </c>
      <c r="AR78" s="9" t="str">
        <f t="shared" ca="1" si="75"/>
        <v>--</v>
      </c>
      <c r="AS78" s="9" t="str">
        <f t="shared" ca="1" si="76"/>
        <v>EXPIRED</v>
      </c>
      <c r="AT78" s="9" t="str">
        <f t="shared" ca="1" si="77"/>
        <v>--</v>
      </c>
      <c r="AU78" s="9" t="str">
        <f t="shared" ca="1" si="112"/>
        <v>EXPIRED</v>
      </c>
      <c r="AV78" s="66"/>
      <c r="AW78" s="9" t="str">
        <f t="shared" ca="1" si="78"/>
        <v>EXPIRED</v>
      </c>
      <c r="AX78" s="9" t="str">
        <f t="shared" ca="1" si="79"/>
        <v>--</v>
      </c>
      <c r="AY78" s="9" t="str">
        <f t="shared" ca="1" si="80"/>
        <v>EXPIRED</v>
      </c>
      <c r="AZ78" s="9" t="str">
        <f t="shared" ca="1" si="81"/>
        <v>--</v>
      </c>
      <c r="BA78" s="9" t="str">
        <f t="shared" ca="1" si="82"/>
        <v>EXPIRED</v>
      </c>
      <c r="BB78" s="9" t="str">
        <f t="shared" ca="1" si="83"/>
        <v>--</v>
      </c>
      <c r="BC78" s="9" t="str">
        <f t="shared" ca="1" si="113"/>
        <v>EXPIRED</v>
      </c>
      <c r="BD78" s="66"/>
    </row>
    <row r="79" spans="1:56" x14ac:dyDescent="0.25">
      <c r="A79" s="14">
        <f t="shared" si="114"/>
        <v>68</v>
      </c>
      <c r="B79" s="14">
        <f t="shared" si="114"/>
        <v>108</v>
      </c>
      <c r="C79" s="38">
        <f t="shared" si="109"/>
        <v>3.8442505025455915</v>
      </c>
      <c r="D79" s="66"/>
      <c r="E79" s="32" t="str">
        <f t="shared" ca="1" si="92"/>
        <v>EXPIRED</v>
      </c>
      <c r="F79" s="32" t="str">
        <f t="shared" ca="1" si="93"/>
        <v>--</v>
      </c>
      <c r="G79" s="32" t="str">
        <f t="shared" ca="1" si="94"/>
        <v>EXPIRED</v>
      </c>
      <c r="H79" s="32" t="str">
        <f ca="1">IF(Message&lt;&gt;"","--",I79*(1-IF(OR(Income!P78="NA",Income!P78=0),0.2,Income!P78)))</f>
        <v>--</v>
      </c>
      <c r="I79" s="32" t="str">
        <f t="shared" ca="1" si="95"/>
        <v>EXPIRED</v>
      </c>
      <c r="J79" s="66"/>
      <c r="K79" s="74" t="str">
        <f ca="1">IF(Message&lt;&gt;"",Message,Income!M78+Dashboard!I131+Dashboard!K131-Taxes!BR84)</f>
        <v>EXPIRED</v>
      </c>
      <c r="L79" s="74" t="str">
        <f t="shared" ca="1" si="96"/>
        <v>EXPIRED</v>
      </c>
      <c r="M79" s="5" t="str">
        <f t="shared" ca="1" si="97"/>
        <v>EXPIRED</v>
      </c>
      <c r="N79" s="5" t="str">
        <f ca="1">IF(Message&lt;&gt;"",Message,MAX(MIN(Target401K*C79,SUM(Income!D78:J78),W79+K79),-I78)+IF(W79+K79&lt;0,-M79,0))</f>
        <v>EXPIRED</v>
      </c>
      <c r="O79" s="66"/>
      <c r="P79" s="71" t="str">
        <f t="shared" ca="1" si="98"/>
        <v>EXPIRED</v>
      </c>
      <c r="Q79" s="71" t="str">
        <f t="shared" ca="1" si="99"/>
        <v>EXPIRED</v>
      </c>
      <c r="R79" s="66"/>
      <c r="S79" s="9" t="str">
        <f t="shared" ca="1" si="100"/>
        <v>EXPIRED</v>
      </c>
      <c r="T79" s="9" t="str">
        <f t="shared" ca="1" si="84"/>
        <v>EXPIRED</v>
      </c>
      <c r="U79" s="9">
        <f ca="1">+Taxes!L84</f>
        <v>0</v>
      </c>
      <c r="V79" s="9" t="str">
        <f t="shared" ca="1" si="101"/>
        <v>EXPIRED</v>
      </c>
      <c r="W79" s="9" t="e">
        <f t="shared" ca="1" si="85"/>
        <v>#VALUE!</v>
      </c>
      <c r="X79" s="66"/>
      <c r="Y79" s="9" t="str">
        <f t="shared" ca="1" si="102"/>
        <v>EXPIRED</v>
      </c>
      <c r="Z79" s="9" t="str">
        <f t="shared" ca="1" si="103"/>
        <v>--</v>
      </c>
      <c r="AA79" s="9" t="str">
        <f t="shared" ca="1" si="104"/>
        <v>EXPIRED</v>
      </c>
      <c r="AB79" s="9" t="str">
        <f t="shared" ca="1" si="105"/>
        <v>--</v>
      </c>
      <c r="AC79" s="9" t="str">
        <f t="shared" ca="1" si="106"/>
        <v>EXPIRED</v>
      </c>
      <c r="AD79" s="9" t="str">
        <f t="shared" ca="1" si="107"/>
        <v>--</v>
      </c>
      <c r="AE79" s="9" t="str">
        <f t="shared" ca="1" si="110"/>
        <v>EXPIRED</v>
      </c>
      <c r="AF79" s="66"/>
      <c r="AG79" s="9" t="str">
        <f t="shared" ca="1" si="66"/>
        <v>EXPIRED</v>
      </c>
      <c r="AH79" s="9" t="str">
        <f t="shared" ca="1" si="67"/>
        <v>--</v>
      </c>
      <c r="AI79" s="9" t="str">
        <f t="shared" ca="1" si="68"/>
        <v>EXPIRED</v>
      </c>
      <c r="AJ79" s="9" t="str">
        <f t="shared" ca="1" si="69"/>
        <v>--</v>
      </c>
      <c r="AK79" s="9" t="str">
        <f t="shared" ca="1" si="70"/>
        <v>EXPIRED</v>
      </c>
      <c r="AL79" s="9" t="str">
        <f t="shared" ca="1" si="71"/>
        <v>--</v>
      </c>
      <c r="AM79" s="9" t="str">
        <f t="shared" ca="1" si="111"/>
        <v>EXPIRED</v>
      </c>
      <c r="AN79" s="66"/>
      <c r="AO79" s="9" t="str">
        <f t="shared" ca="1" si="72"/>
        <v>EXPIRED</v>
      </c>
      <c r="AP79" s="9" t="str">
        <f t="shared" ca="1" si="73"/>
        <v>--</v>
      </c>
      <c r="AQ79" s="9" t="str">
        <f t="shared" ca="1" si="74"/>
        <v>EXPIRED</v>
      </c>
      <c r="AR79" s="9" t="str">
        <f t="shared" ca="1" si="75"/>
        <v>--</v>
      </c>
      <c r="AS79" s="9" t="str">
        <f t="shared" ca="1" si="76"/>
        <v>EXPIRED</v>
      </c>
      <c r="AT79" s="9" t="str">
        <f t="shared" ca="1" si="77"/>
        <v>--</v>
      </c>
      <c r="AU79" s="9" t="str">
        <f t="shared" ca="1" si="112"/>
        <v>EXPIRED</v>
      </c>
      <c r="AV79" s="66"/>
      <c r="AW79" s="9" t="str">
        <f t="shared" ca="1" si="78"/>
        <v>EXPIRED</v>
      </c>
      <c r="AX79" s="9" t="str">
        <f t="shared" ca="1" si="79"/>
        <v>--</v>
      </c>
      <c r="AY79" s="9" t="str">
        <f t="shared" ca="1" si="80"/>
        <v>EXPIRED</v>
      </c>
      <c r="AZ79" s="9" t="str">
        <f t="shared" ca="1" si="81"/>
        <v>--</v>
      </c>
      <c r="BA79" s="9" t="str">
        <f t="shared" ca="1" si="82"/>
        <v>EXPIRED</v>
      </c>
      <c r="BB79" s="9" t="str">
        <f t="shared" ca="1" si="83"/>
        <v>--</v>
      </c>
      <c r="BC79" s="9" t="str">
        <f t="shared" ca="1" si="113"/>
        <v>EXPIRED</v>
      </c>
      <c r="BD79" s="66"/>
    </row>
    <row r="80" spans="1:56" x14ac:dyDescent="0.25">
      <c r="A80" s="14">
        <f t="shared" si="114"/>
        <v>69</v>
      </c>
      <c r="B80" s="14">
        <f t="shared" si="114"/>
        <v>109</v>
      </c>
      <c r="C80" s="38">
        <f t="shared" si="109"/>
        <v>3.9211355125965035</v>
      </c>
      <c r="D80" s="66"/>
      <c r="E80" s="32" t="str">
        <f t="shared" ca="1" si="92"/>
        <v>EXPIRED</v>
      </c>
      <c r="F80" s="32" t="str">
        <f t="shared" ca="1" si="93"/>
        <v>--</v>
      </c>
      <c r="G80" s="32" t="str">
        <f t="shared" ca="1" si="94"/>
        <v>EXPIRED</v>
      </c>
      <c r="H80" s="32" t="str">
        <f ca="1">IF(Message&lt;&gt;"","--",I80*(1-IF(OR(Income!P79="NA",Income!P79=0),0.2,Income!P79)))</f>
        <v>--</v>
      </c>
      <c r="I80" s="32" t="str">
        <f t="shared" ca="1" si="95"/>
        <v>EXPIRED</v>
      </c>
      <c r="J80" s="66"/>
      <c r="K80" s="74" t="str">
        <f ca="1">IF(Message&lt;&gt;"",Message,Income!M79+Dashboard!I132+Dashboard!K132-Taxes!BR85)</f>
        <v>EXPIRED</v>
      </c>
      <c r="L80" s="74" t="str">
        <f t="shared" ca="1" si="96"/>
        <v>EXPIRED</v>
      </c>
      <c r="M80" s="5" t="str">
        <f t="shared" ca="1" si="97"/>
        <v>EXPIRED</v>
      </c>
      <c r="N80" s="5" t="str">
        <f ca="1">IF(Message&lt;&gt;"",Message,MAX(MIN(Target401K*C80,SUM(Income!D79:J79),W80+K80),-I79)+IF(W80+K80&lt;0,-M80,0))</f>
        <v>EXPIRED</v>
      </c>
      <c r="O80" s="66"/>
      <c r="P80" s="71" t="str">
        <f t="shared" ca="1" si="98"/>
        <v>EXPIRED</v>
      </c>
      <c r="Q80" s="71" t="str">
        <f t="shared" ca="1" si="99"/>
        <v>EXPIRED</v>
      </c>
      <c r="R80" s="66"/>
      <c r="S80" s="9" t="str">
        <f t="shared" ca="1" si="100"/>
        <v>EXPIRED</v>
      </c>
      <c r="T80" s="9" t="str">
        <f t="shared" ca="1" si="84"/>
        <v>EXPIRED</v>
      </c>
      <c r="U80" s="9">
        <f ca="1">+Taxes!L85</f>
        <v>0</v>
      </c>
      <c r="V80" s="9" t="str">
        <f t="shared" ca="1" si="101"/>
        <v>EXPIRED</v>
      </c>
      <c r="W80" s="9" t="e">
        <f t="shared" ca="1" si="85"/>
        <v>#VALUE!</v>
      </c>
      <c r="X80" s="66"/>
      <c r="Y80" s="9" t="str">
        <f t="shared" ca="1" si="102"/>
        <v>EXPIRED</v>
      </c>
      <c r="Z80" s="9" t="str">
        <f t="shared" ca="1" si="103"/>
        <v>--</v>
      </c>
      <c r="AA80" s="9" t="str">
        <f t="shared" ca="1" si="104"/>
        <v>EXPIRED</v>
      </c>
      <c r="AB80" s="9" t="str">
        <f t="shared" ca="1" si="105"/>
        <v>--</v>
      </c>
      <c r="AC80" s="9" t="str">
        <f t="shared" ca="1" si="106"/>
        <v>EXPIRED</v>
      </c>
      <c r="AD80" s="9" t="str">
        <f t="shared" ca="1" si="107"/>
        <v>--</v>
      </c>
      <c r="AE80" s="9" t="str">
        <f t="shared" ca="1" si="110"/>
        <v>EXPIRED</v>
      </c>
      <c r="AF80" s="66"/>
      <c r="AG80" s="9" t="str">
        <f t="shared" ca="1" si="66"/>
        <v>EXPIRED</v>
      </c>
      <c r="AH80" s="9" t="str">
        <f t="shared" ca="1" si="67"/>
        <v>--</v>
      </c>
      <c r="AI80" s="9" t="str">
        <f t="shared" ca="1" si="68"/>
        <v>EXPIRED</v>
      </c>
      <c r="AJ80" s="9" t="str">
        <f t="shared" ca="1" si="69"/>
        <v>--</v>
      </c>
      <c r="AK80" s="9" t="str">
        <f t="shared" ca="1" si="70"/>
        <v>EXPIRED</v>
      </c>
      <c r="AL80" s="9" t="str">
        <f t="shared" ca="1" si="71"/>
        <v>--</v>
      </c>
      <c r="AM80" s="9" t="str">
        <f t="shared" ca="1" si="111"/>
        <v>EXPIRED</v>
      </c>
      <c r="AN80" s="66"/>
      <c r="AO80" s="9" t="str">
        <f t="shared" ca="1" si="72"/>
        <v>EXPIRED</v>
      </c>
      <c r="AP80" s="9" t="str">
        <f t="shared" ca="1" si="73"/>
        <v>--</v>
      </c>
      <c r="AQ80" s="9" t="str">
        <f t="shared" ca="1" si="74"/>
        <v>EXPIRED</v>
      </c>
      <c r="AR80" s="9" t="str">
        <f t="shared" ca="1" si="75"/>
        <v>--</v>
      </c>
      <c r="AS80" s="9" t="str">
        <f t="shared" ca="1" si="76"/>
        <v>EXPIRED</v>
      </c>
      <c r="AT80" s="9" t="str">
        <f t="shared" ca="1" si="77"/>
        <v>--</v>
      </c>
      <c r="AU80" s="9" t="str">
        <f t="shared" ca="1" si="112"/>
        <v>EXPIRED</v>
      </c>
      <c r="AV80" s="66"/>
      <c r="AW80" s="9" t="str">
        <f t="shared" ca="1" si="78"/>
        <v>EXPIRED</v>
      </c>
      <c r="AX80" s="9" t="str">
        <f t="shared" ca="1" si="79"/>
        <v>--</v>
      </c>
      <c r="AY80" s="9" t="str">
        <f t="shared" ca="1" si="80"/>
        <v>EXPIRED</v>
      </c>
      <c r="AZ80" s="9" t="str">
        <f t="shared" ca="1" si="81"/>
        <v>--</v>
      </c>
      <c r="BA80" s="9" t="str">
        <f t="shared" ca="1" si="82"/>
        <v>EXPIRED</v>
      </c>
      <c r="BB80" s="9" t="str">
        <f t="shared" ca="1" si="83"/>
        <v>--</v>
      </c>
      <c r="BC80" s="9" t="str">
        <f t="shared" ca="1" si="113"/>
        <v>EXPIRED</v>
      </c>
      <c r="BD80" s="66"/>
    </row>
    <row r="81" spans="1:56" x14ac:dyDescent="0.25">
      <c r="A81" s="14">
        <f t="shared" si="114"/>
        <v>70</v>
      </c>
      <c r="B81" s="14">
        <f t="shared" si="114"/>
        <v>110</v>
      </c>
      <c r="C81" s="38">
        <f t="shared" si="109"/>
        <v>3.9995582228484339</v>
      </c>
      <c r="D81" s="66"/>
      <c r="E81" s="32" t="str">
        <f t="shared" ref="E81:E111" ca="1" si="115">IF(Message&lt;&gt;"",Message,+SUM(F81:H81))</f>
        <v>EXPIRED</v>
      </c>
      <c r="F81" s="32" t="str">
        <f t="shared" ref="F81:F111" ca="1" si="116">IF(Message&lt;&gt;"","--",+V81)</f>
        <v>--</v>
      </c>
      <c r="G81" s="32" t="str">
        <f t="shared" ref="G81:G111" ca="1" si="117">IF(Message&lt;&gt;"",Message,SUMIFS(81:81,$10:$10,"Ending Balance",$7:$7,FALSE))</f>
        <v>EXPIRED</v>
      </c>
      <c r="H81" s="32" t="str">
        <f ca="1">IF(Message&lt;&gt;"","--",I81*(1-IF(OR(Income!P80="NA",Income!P80=0),0.2,Income!P80)))</f>
        <v>--</v>
      </c>
      <c r="I81" s="32" t="str">
        <f t="shared" ref="I81:I111" ca="1" si="118">IF(Message&lt;&gt;"",Message,SUMIFS(81:81,$10:$10,"Ending Balance",$7:$7,TRUE))</f>
        <v>EXPIRED</v>
      </c>
      <c r="J81" s="66"/>
      <c r="K81" s="74" t="str">
        <f ca="1">IF(Message&lt;&gt;"",Message,Income!M80+Dashboard!I133+Dashboard!K133-Taxes!BR86)</f>
        <v>EXPIRED</v>
      </c>
      <c r="L81" s="74" t="str">
        <f t="shared" ref="L81:L111" ca="1" si="119">IF(Message&lt;&gt;"",Message,+K81-SUM(M81:N81))</f>
        <v>EXPIRED</v>
      </c>
      <c r="M81" s="5" t="str">
        <f t="shared" ref="M81:M111" ca="1" si="120">IF(Message&lt;&gt;"",Message,MAX(W81+K81,-G80)-IF(W81+K81&gt;0,N81,0))</f>
        <v>EXPIRED</v>
      </c>
      <c r="N81" s="5" t="str">
        <f ca="1">IF(Message&lt;&gt;"",Message,MAX(MIN(Target401K*C81,SUM(Income!D80:J80),W81+K81),-I80)+IF(W81+K81&lt;0,-M81,0))</f>
        <v>EXPIRED</v>
      </c>
      <c r="O81" s="66"/>
      <c r="P81" s="71" t="str">
        <f t="shared" ref="P81:P111" ca="1" si="121">IF(Message&lt;&gt;"",Message,+SUMIFS(81:81,$10:$10,"Dividend",$7:$7,FALSE)+S81)</f>
        <v>EXPIRED</v>
      </c>
      <c r="Q81" s="71" t="str">
        <f t="shared" ref="Q81:Q111" ca="1" si="122">IF(Message&lt;&gt;"",Message,+SUMIFS(81:81,$10:$10,"Gains Taxed This Year",$7:$7,FALSE))</f>
        <v>EXPIRED</v>
      </c>
      <c r="R81" s="66"/>
      <c r="S81" s="9" t="str">
        <f t="shared" ref="S81:S111" ca="1" si="123">IF(Message&lt;&gt;"",Message,+IF(V80&lt;0,T$5,T$4)*V80)</f>
        <v>EXPIRED</v>
      </c>
      <c r="T81" s="9" t="str">
        <f t="shared" ca="1" si="84"/>
        <v>EXPIRED</v>
      </c>
      <c r="U81" s="9">
        <f ca="1">+Taxes!L86</f>
        <v>0</v>
      </c>
      <c r="V81" s="9" t="str">
        <f t="shared" ref="V81:V111" ca="1" si="124">IF(Message&lt;&gt;"",Message,+V80+T81-U81)</f>
        <v>EXPIRED</v>
      </c>
      <c r="W81" s="9" t="e">
        <f t="shared" ca="1" si="85"/>
        <v>#VALUE!</v>
      </c>
      <c r="X81" s="66"/>
      <c r="Y81" s="9" t="str">
        <f t="shared" ref="Y81:Y111" ca="1" si="125">IF(Message&lt;&gt;"",Message,+AC80*(Z$4-IF(Z$7,0,Z$5)))</f>
        <v>EXPIRED</v>
      </c>
      <c r="Z81" s="9" t="str">
        <f t="shared" ref="Z81:Z111" ca="1" si="126">IF(Message&lt;&gt;"","--",+AC80*IF(Z$7,0,Z$5))</f>
        <v>--</v>
      </c>
      <c r="AA81" s="9" t="str">
        <f t="shared" ref="AA81:AA111" ca="1" si="127">IF(Message&lt;&gt;"",Message,+AC80+Y81)</f>
        <v>EXPIRED</v>
      </c>
      <c r="AB81" s="9" t="str">
        <f t="shared" ref="AB81:AB111" ca="1" si="128">IF(Message&lt;&gt;"","--", (Z$6*SUMIFS(80:80,$10:$10,"Ending Balance",$7:$7,Z$7)-AA81)+Z$6*IF(Z$7,$N81,$M81))</f>
        <v>--</v>
      </c>
      <c r="AC81" s="9" t="str">
        <f t="shared" ref="AC81:AC111" ca="1" si="129">IF(Message&lt;&gt;"",Message,+AC80*(1+Z$4-IF(Z$7,0,Z$5))+AB81)</f>
        <v>EXPIRED</v>
      </c>
      <c r="AD81" s="9" t="str">
        <f t="shared" ref="AD81:AD111" ca="1" si="130">IF(Message&lt;&gt;"","--",+AD80+Y81-AE80)</f>
        <v>--</v>
      </c>
      <c r="AE81" s="9" t="str">
        <f t="shared" ca="1" si="110"/>
        <v>EXPIRED</v>
      </c>
      <c r="AF81" s="66"/>
      <c r="AG81" s="9" t="str">
        <f t="shared" ref="AG81:AG111" ca="1" si="131">IF(Message&lt;&gt;"",Message,+AK80*(AH$4-IF(AH$7,0,AH$5)))</f>
        <v>EXPIRED</v>
      </c>
      <c r="AH81" s="9" t="str">
        <f t="shared" ref="AH81:AH111" ca="1" si="132">IF(Message&lt;&gt;"","--",+AK80*IF(AH$7,0,AH$5))</f>
        <v>--</v>
      </c>
      <c r="AI81" s="9" t="str">
        <f t="shared" ref="AI81:AI111" ca="1" si="133">IF(Message&lt;&gt;"",Message,+AK80+AG81)</f>
        <v>EXPIRED</v>
      </c>
      <c r="AJ81" s="9" t="str">
        <f t="shared" ref="AJ81:AJ111" ca="1" si="134">IF(Message&lt;&gt;"","--", (AH$6*SUMIFS(80:80,$10:$10,"Ending Balance",$7:$7,AH$7)-AI81)+AH$6*IF(AH$7,$N81,$M81))</f>
        <v>--</v>
      </c>
      <c r="AK81" s="9" t="str">
        <f t="shared" ref="AK81:AK111" ca="1" si="135">IF(Message&lt;&gt;"",Message,+AK80*(1+AH$4-IF(AH$7,0,AH$5))+AJ81)</f>
        <v>EXPIRED</v>
      </c>
      <c r="AL81" s="9" t="str">
        <f t="shared" ref="AL81:AL111" ca="1" si="136">IF(Message&lt;&gt;"","--",+AL80+AG81-AM80)</f>
        <v>--</v>
      </c>
      <c r="AM81" s="9" t="str">
        <f t="shared" ca="1" si="111"/>
        <v>EXPIRED</v>
      </c>
      <c r="AN81" s="66"/>
      <c r="AO81" s="9" t="str">
        <f t="shared" ref="AO81:AO111" ca="1" si="137">IF(Message&lt;&gt;"",Message,+AS80*(AP$4-IF(AP$7,0,AP$5)))</f>
        <v>EXPIRED</v>
      </c>
      <c r="AP81" s="9" t="str">
        <f t="shared" ref="AP81:AP111" ca="1" si="138">IF(Message&lt;&gt;"","--",+AS80*IF(AP$7,0,AP$5))</f>
        <v>--</v>
      </c>
      <c r="AQ81" s="9" t="str">
        <f t="shared" ref="AQ81:AQ111" ca="1" si="139">IF(Message&lt;&gt;"",Message,+AS80+AO81)</f>
        <v>EXPIRED</v>
      </c>
      <c r="AR81" s="9" t="str">
        <f t="shared" ref="AR81:AR111" ca="1" si="140">IF(Message&lt;&gt;"","--", (AP$6*SUMIFS(80:80,$10:$10,"Ending Balance",$7:$7,AP$7)-AQ81)+AP$6*IF(AP$7,$N81,$M81))</f>
        <v>--</v>
      </c>
      <c r="AS81" s="9" t="str">
        <f t="shared" ref="AS81:AS111" ca="1" si="141">IF(Message&lt;&gt;"",Message,+AS80*(1+AP$4-IF(AP$7,0,AP$5))+AR81)</f>
        <v>EXPIRED</v>
      </c>
      <c r="AT81" s="9" t="str">
        <f t="shared" ref="AT81:AT111" ca="1" si="142">IF(Message&lt;&gt;"","--",+AT80+AO81-AU80)</f>
        <v>--</v>
      </c>
      <c r="AU81" s="9" t="str">
        <f t="shared" ca="1" si="112"/>
        <v>EXPIRED</v>
      </c>
      <c r="AV81" s="66"/>
      <c r="AW81" s="9" t="str">
        <f t="shared" ref="AW81:AW111" ca="1" si="143">IF(Message&lt;&gt;"",Message,+BA80*(AX$4-IF(AX$7,0,AX$5)))</f>
        <v>EXPIRED</v>
      </c>
      <c r="AX81" s="9" t="str">
        <f t="shared" ref="AX81:AX111" ca="1" si="144">IF(Message&lt;&gt;"","--",+BA80*IF(AX$7,0,AX$5))</f>
        <v>--</v>
      </c>
      <c r="AY81" s="9" t="str">
        <f t="shared" ref="AY81:AY111" ca="1" si="145">IF(Message&lt;&gt;"",Message,+BA80+AW81)</f>
        <v>EXPIRED</v>
      </c>
      <c r="AZ81" s="9" t="str">
        <f t="shared" ref="AZ81:AZ111" ca="1" si="146">IF(Message&lt;&gt;"","--", (AX$6*SUMIFS(80:80,$10:$10,"Ending Balance",$7:$7,AX$7)-AY81)+AX$6*IF(AX$7,$N81,$M81))</f>
        <v>--</v>
      </c>
      <c r="BA81" s="9" t="str">
        <f t="shared" ref="BA81:BA111" ca="1" si="147">IF(Message&lt;&gt;"",Message,+BA80*(1+AX$4-IF(AX$7,0,AX$5))+AZ81)</f>
        <v>EXPIRED</v>
      </c>
      <c r="BB81" s="9" t="str">
        <f t="shared" ref="BB81:BB111" ca="1" si="148">IF(Message&lt;&gt;"","--",+BB80+AW81-BC80)</f>
        <v>--</v>
      </c>
      <c r="BC81" s="9" t="str">
        <f t="shared" ca="1" si="113"/>
        <v>EXPIRED</v>
      </c>
      <c r="BD81" s="66"/>
    </row>
    <row r="82" spans="1:56" x14ac:dyDescent="0.25">
      <c r="A82" s="14">
        <f t="shared" si="114"/>
        <v>71</v>
      </c>
      <c r="B82" s="14">
        <f t="shared" si="114"/>
        <v>111</v>
      </c>
      <c r="C82" s="38">
        <f t="shared" si="109"/>
        <v>4.0795493873054021</v>
      </c>
      <c r="D82" s="66"/>
      <c r="E82" s="32" t="str">
        <f t="shared" ca="1" si="115"/>
        <v>EXPIRED</v>
      </c>
      <c r="F82" s="32" t="str">
        <f t="shared" ca="1" si="116"/>
        <v>--</v>
      </c>
      <c r="G82" s="32" t="str">
        <f t="shared" ca="1" si="117"/>
        <v>EXPIRED</v>
      </c>
      <c r="H82" s="32" t="str">
        <f ca="1">IF(Message&lt;&gt;"","--",I82*(1-IF(OR(Income!P81="NA",Income!P81=0),0.2,Income!P81)))</f>
        <v>--</v>
      </c>
      <c r="I82" s="32" t="str">
        <f t="shared" ca="1" si="118"/>
        <v>EXPIRED</v>
      </c>
      <c r="J82" s="66"/>
      <c r="K82" s="74" t="str">
        <f ca="1">IF(Message&lt;&gt;"",Message,Income!M81+Dashboard!I134+Dashboard!K134-Taxes!BR87)</f>
        <v>EXPIRED</v>
      </c>
      <c r="L82" s="74" t="str">
        <f t="shared" ca="1" si="119"/>
        <v>EXPIRED</v>
      </c>
      <c r="M82" s="5" t="str">
        <f t="shared" ca="1" si="120"/>
        <v>EXPIRED</v>
      </c>
      <c r="N82" s="5" t="str">
        <f ca="1">IF(Message&lt;&gt;"",Message,MAX(MIN(Target401K*C82,SUM(Income!D81:J81),W82+K82),-I81)+IF(W82+K82&lt;0,-M82,0))</f>
        <v>EXPIRED</v>
      </c>
      <c r="O82" s="66"/>
      <c r="P82" s="71" t="str">
        <f t="shared" ca="1" si="121"/>
        <v>EXPIRED</v>
      </c>
      <c r="Q82" s="71" t="str">
        <f t="shared" ca="1" si="122"/>
        <v>EXPIRED</v>
      </c>
      <c r="R82" s="66"/>
      <c r="S82" s="9" t="str">
        <f t="shared" ca="1" si="123"/>
        <v>EXPIRED</v>
      </c>
      <c r="T82" s="9" t="str">
        <f t="shared" ref="T82:T111" ca="1" si="149">L82</f>
        <v>EXPIRED</v>
      </c>
      <c r="U82" s="9">
        <f ca="1">+Taxes!L87</f>
        <v>0</v>
      </c>
      <c r="V82" s="9" t="str">
        <f t="shared" ca="1" si="124"/>
        <v>EXPIRED</v>
      </c>
      <c r="W82" s="9" t="e">
        <f t="shared" ref="W82:W111" ca="1" si="150">+V81-$T$3*C82</f>
        <v>#VALUE!</v>
      </c>
      <c r="X82" s="66"/>
      <c r="Y82" s="9" t="str">
        <f t="shared" ca="1" si="125"/>
        <v>EXPIRED</v>
      </c>
      <c r="Z82" s="9" t="str">
        <f t="shared" ca="1" si="126"/>
        <v>--</v>
      </c>
      <c r="AA82" s="9" t="str">
        <f t="shared" ca="1" si="127"/>
        <v>EXPIRED</v>
      </c>
      <c r="AB82" s="9" t="str">
        <f t="shared" ca="1" si="128"/>
        <v>--</v>
      </c>
      <c r="AC82" s="9" t="str">
        <f t="shared" ca="1" si="129"/>
        <v>EXPIRED</v>
      </c>
      <c r="AD82" s="9" t="str">
        <f t="shared" ca="1" si="130"/>
        <v>--</v>
      </c>
      <c r="AE82" s="9" t="str">
        <f t="shared" ca="1" si="110"/>
        <v>EXPIRED</v>
      </c>
      <c r="AF82" s="66"/>
      <c r="AG82" s="9" t="str">
        <f t="shared" ca="1" si="131"/>
        <v>EXPIRED</v>
      </c>
      <c r="AH82" s="9" t="str">
        <f t="shared" ca="1" si="132"/>
        <v>--</v>
      </c>
      <c r="AI82" s="9" t="str">
        <f t="shared" ca="1" si="133"/>
        <v>EXPIRED</v>
      </c>
      <c r="AJ82" s="9" t="str">
        <f t="shared" ca="1" si="134"/>
        <v>--</v>
      </c>
      <c r="AK82" s="9" t="str">
        <f t="shared" ca="1" si="135"/>
        <v>EXPIRED</v>
      </c>
      <c r="AL82" s="9" t="str">
        <f t="shared" ca="1" si="136"/>
        <v>--</v>
      </c>
      <c r="AM82" s="9" t="str">
        <f t="shared" ca="1" si="111"/>
        <v>EXPIRED</v>
      </c>
      <c r="AN82" s="66"/>
      <c r="AO82" s="9" t="str">
        <f t="shared" ca="1" si="137"/>
        <v>EXPIRED</v>
      </c>
      <c r="AP82" s="9" t="str">
        <f t="shared" ca="1" si="138"/>
        <v>--</v>
      </c>
      <c r="AQ82" s="9" t="str">
        <f t="shared" ca="1" si="139"/>
        <v>EXPIRED</v>
      </c>
      <c r="AR82" s="9" t="str">
        <f t="shared" ca="1" si="140"/>
        <v>--</v>
      </c>
      <c r="AS82" s="9" t="str">
        <f t="shared" ca="1" si="141"/>
        <v>EXPIRED</v>
      </c>
      <c r="AT82" s="9" t="str">
        <f t="shared" ca="1" si="142"/>
        <v>--</v>
      </c>
      <c r="AU82" s="9" t="str">
        <f t="shared" ca="1" si="112"/>
        <v>EXPIRED</v>
      </c>
      <c r="AV82" s="66"/>
      <c r="AW82" s="9" t="str">
        <f t="shared" ca="1" si="143"/>
        <v>EXPIRED</v>
      </c>
      <c r="AX82" s="9" t="str">
        <f t="shared" ca="1" si="144"/>
        <v>--</v>
      </c>
      <c r="AY82" s="9" t="str">
        <f t="shared" ca="1" si="145"/>
        <v>EXPIRED</v>
      </c>
      <c r="AZ82" s="9" t="str">
        <f t="shared" ca="1" si="146"/>
        <v>--</v>
      </c>
      <c r="BA82" s="9" t="str">
        <f t="shared" ca="1" si="147"/>
        <v>EXPIRED</v>
      </c>
      <c r="BB82" s="9" t="str">
        <f t="shared" ca="1" si="148"/>
        <v>--</v>
      </c>
      <c r="BC82" s="9" t="str">
        <f t="shared" ca="1" si="113"/>
        <v>EXPIRED</v>
      </c>
      <c r="BD82" s="66"/>
    </row>
    <row r="83" spans="1:56" x14ac:dyDescent="0.25">
      <c r="A83" s="14">
        <f t="shared" si="114"/>
        <v>72</v>
      </c>
      <c r="B83" s="14">
        <f t="shared" si="114"/>
        <v>112</v>
      </c>
      <c r="C83" s="38">
        <f t="shared" si="109"/>
        <v>4.1611403750515104</v>
      </c>
      <c r="D83" s="66"/>
      <c r="E83" s="32" t="str">
        <f t="shared" ca="1" si="115"/>
        <v>EXPIRED</v>
      </c>
      <c r="F83" s="32" t="str">
        <f t="shared" ca="1" si="116"/>
        <v>--</v>
      </c>
      <c r="G83" s="32" t="str">
        <f t="shared" ca="1" si="117"/>
        <v>EXPIRED</v>
      </c>
      <c r="H83" s="32" t="str">
        <f ca="1">IF(Message&lt;&gt;"","--",I83*(1-IF(OR(Income!P82="NA",Income!P82=0),0.2,Income!P82)))</f>
        <v>--</v>
      </c>
      <c r="I83" s="32" t="str">
        <f t="shared" ca="1" si="118"/>
        <v>EXPIRED</v>
      </c>
      <c r="J83" s="66"/>
      <c r="K83" s="74" t="str">
        <f ca="1">IF(Message&lt;&gt;"",Message,Income!M82+Dashboard!I135+Dashboard!K135-Taxes!BR88)</f>
        <v>EXPIRED</v>
      </c>
      <c r="L83" s="74" t="str">
        <f t="shared" ca="1" si="119"/>
        <v>EXPIRED</v>
      </c>
      <c r="M83" s="5" t="str">
        <f t="shared" ca="1" si="120"/>
        <v>EXPIRED</v>
      </c>
      <c r="N83" s="5" t="str">
        <f ca="1">IF(Message&lt;&gt;"",Message,MAX(MIN(Target401K*C83,SUM(Income!D82:J82),W83+K83),-I82)+IF(W83+K83&lt;0,-M83,0))</f>
        <v>EXPIRED</v>
      </c>
      <c r="O83" s="66"/>
      <c r="P83" s="71" t="str">
        <f t="shared" ca="1" si="121"/>
        <v>EXPIRED</v>
      </c>
      <c r="Q83" s="71" t="str">
        <f t="shared" ca="1" si="122"/>
        <v>EXPIRED</v>
      </c>
      <c r="R83" s="66"/>
      <c r="S83" s="9" t="str">
        <f t="shared" ca="1" si="123"/>
        <v>EXPIRED</v>
      </c>
      <c r="T83" s="9" t="str">
        <f t="shared" ca="1" si="149"/>
        <v>EXPIRED</v>
      </c>
      <c r="U83" s="9">
        <f ca="1">+Taxes!L88</f>
        <v>0</v>
      </c>
      <c r="V83" s="9" t="str">
        <f t="shared" ca="1" si="124"/>
        <v>EXPIRED</v>
      </c>
      <c r="W83" s="9" t="e">
        <f t="shared" ca="1" si="150"/>
        <v>#VALUE!</v>
      </c>
      <c r="X83" s="66"/>
      <c r="Y83" s="9" t="str">
        <f t="shared" ca="1" si="125"/>
        <v>EXPIRED</v>
      </c>
      <c r="Z83" s="9" t="str">
        <f t="shared" ca="1" si="126"/>
        <v>--</v>
      </c>
      <c r="AA83" s="9" t="str">
        <f t="shared" ca="1" si="127"/>
        <v>EXPIRED</v>
      </c>
      <c r="AB83" s="9" t="str">
        <f t="shared" ca="1" si="128"/>
        <v>--</v>
      </c>
      <c r="AC83" s="9" t="str">
        <f t="shared" ca="1" si="129"/>
        <v>EXPIRED</v>
      </c>
      <c r="AD83" s="9" t="str">
        <f t="shared" ca="1" si="130"/>
        <v>--</v>
      </c>
      <c r="AE83" s="9" t="str">
        <f t="shared" ca="1" si="110"/>
        <v>EXPIRED</v>
      </c>
      <c r="AF83" s="66"/>
      <c r="AG83" s="9" t="str">
        <f t="shared" ca="1" si="131"/>
        <v>EXPIRED</v>
      </c>
      <c r="AH83" s="9" t="str">
        <f t="shared" ca="1" si="132"/>
        <v>--</v>
      </c>
      <c r="AI83" s="9" t="str">
        <f t="shared" ca="1" si="133"/>
        <v>EXPIRED</v>
      </c>
      <c r="AJ83" s="9" t="str">
        <f t="shared" ca="1" si="134"/>
        <v>--</v>
      </c>
      <c r="AK83" s="9" t="str">
        <f t="shared" ca="1" si="135"/>
        <v>EXPIRED</v>
      </c>
      <c r="AL83" s="9" t="str">
        <f t="shared" ca="1" si="136"/>
        <v>--</v>
      </c>
      <c r="AM83" s="9" t="str">
        <f t="shared" ca="1" si="111"/>
        <v>EXPIRED</v>
      </c>
      <c r="AN83" s="66"/>
      <c r="AO83" s="9" t="str">
        <f t="shared" ca="1" si="137"/>
        <v>EXPIRED</v>
      </c>
      <c r="AP83" s="9" t="str">
        <f t="shared" ca="1" si="138"/>
        <v>--</v>
      </c>
      <c r="AQ83" s="9" t="str">
        <f t="shared" ca="1" si="139"/>
        <v>EXPIRED</v>
      </c>
      <c r="AR83" s="9" t="str">
        <f t="shared" ca="1" si="140"/>
        <v>--</v>
      </c>
      <c r="AS83" s="9" t="str">
        <f t="shared" ca="1" si="141"/>
        <v>EXPIRED</v>
      </c>
      <c r="AT83" s="9" t="str">
        <f t="shared" ca="1" si="142"/>
        <v>--</v>
      </c>
      <c r="AU83" s="9" t="str">
        <f t="shared" ca="1" si="112"/>
        <v>EXPIRED</v>
      </c>
      <c r="AV83" s="66"/>
      <c r="AW83" s="9" t="str">
        <f t="shared" ca="1" si="143"/>
        <v>EXPIRED</v>
      </c>
      <c r="AX83" s="9" t="str">
        <f t="shared" ca="1" si="144"/>
        <v>--</v>
      </c>
      <c r="AY83" s="9" t="str">
        <f t="shared" ca="1" si="145"/>
        <v>EXPIRED</v>
      </c>
      <c r="AZ83" s="9" t="str">
        <f t="shared" ca="1" si="146"/>
        <v>--</v>
      </c>
      <c r="BA83" s="9" t="str">
        <f t="shared" ca="1" si="147"/>
        <v>EXPIRED</v>
      </c>
      <c r="BB83" s="9" t="str">
        <f t="shared" ca="1" si="148"/>
        <v>--</v>
      </c>
      <c r="BC83" s="9" t="str">
        <f t="shared" ca="1" si="113"/>
        <v>EXPIRED</v>
      </c>
      <c r="BD83" s="66"/>
    </row>
    <row r="84" spans="1:56" x14ac:dyDescent="0.25">
      <c r="A84" s="14">
        <f t="shared" si="114"/>
        <v>73</v>
      </c>
      <c r="B84" s="14">
        <f t="shared" si="114"/>
        <v>113</v>
      </c>
      <c r="C84" s="38">
        <f t="shared" si="109"/>
        <v>4.2443631825525401</v>
      </c>
      <c r="D84" s="66"/>
      <c r="E84" s="32" t="str">
        <f t="shared" ca="1" si="115"/>
        <v>EXPIRED</v>
      </c>
      <c r="F84" s="32" t="str">
        <f t="shared" ca="1" si="116"/>
        <v>--</v>
      </c>
      <c r="G84" s="32" t="str">
        <f t="shared" ca="1" si="117"/>
        <v>EXPIRED</v>
      </c>
      <c r="H84" s="32" t="str">
        <f ca="1">IF(Message&lt;&gt;"","--",I84*(1-IF(OR(Income!P83="NA",Income!P83=0),0.2,Income!P83)))</f>
        <v>--</v>
      </c>
      <c r="I84" s="32" t="str">
        <f t="shared" ca="1" si="118"/>
        <v>EXPIRED</v>
      </c>
      <c r="J84" s="66"/>
      <c r="K84" s="74" t="str">
        <f ca="1">IF(Message&lt;&gt;"",Message,Income!M83+Dashboard!I136+Dashboard!K136-Taxes!BR89)</f>
        <v>EXPIRED</v>
      </c>
      <c r="L84" s="74" t="str">
        <f t="shared" ca="1" si="119"/>
        <v>EXPIRED</v>
      </c>
      <c r="M84" s="5" t="str">
        <f t="shared" ca="1" si="120"/>
        <v>EXPIRED</v>
      </c>
      <c r="N84" s="5" t="str">
        <f ca="1">IF(Message&lt;&gt;"",Message,MAX(MIN(Target401K*C84,SUM(Income!D83:J83),W84+K84),-I83)+IF(W84+K84&lt;0,-M84,0))</f>
        <v>EXPIRED</v>
      </c>
      <c r="O84" s="66"/>
      <c r="P84" s="71" t="str">
        <f t="shared" ca="1" si="121"/>
        <v>EXPIRED</v>
      </c>
      <c r="Q84" s="71" t="str">
        <f t="shared" ca="1" si="122"/>
        <v>EXPIRED</v>
      </c>
      <c r="R84" s="66"/>
      <c r="S84" s="9" t="str">
        <f t="shared" ca="1" si="123"/>
        <v>EXPIRED</v>
      </c>
      <c r="T84" s="9" t="str">
        <f t="shared" ca="1" si="149"/>
        <v>EXPIRED</v>
      </c>
      <c r="U84" s="9">
        <f ca="1">+Taxes!L89</f>
        <v>0</v>
      </c>
      <c r="V84" s="9" t="str">
        <f t="shared" ca="1" si="124"/>
        <v>EXPIRED</v>
      </c>
      <c r="W84" s="9" t="e">
        <f t="shared" ca="1" si="150"/>
        <v>#VALUE!</v>
      </c>
      <c r="X84" s="66"/>
      <c r="Y84" s="9" t="str">
        <f t="shared" ca="1" si="125"/>
        <v>EXPIRED</v>
      </c>
      <c r="Z84" s="9" t="str">
        <f t="shared" ca="1" si="126"/>
        <v>--</v>
      </c>
      <c r="AA84" s="9" t="str">
        <f t="shared" ca="1" si="127"/>
        <v>EXPIRED</v>
      </c>
      <c r="AB84" s="9" t="str">
        <f t="shared" ca="1" si="128"/>
        <v>--</v>
      </c>
      <c r="AC84" s="9" t="str">
        <f t="shared" ca="1" si="129"/>
        <v>EXPIRED</v>
      </c>
      <c r="AD84" s="9" t="str">
        <f t="shared" ca="1" si="130"/>
        <v>--</v>
      </c>
      <c r="AE84" s="9" t="str">
        <f t="shared" ca="1" si="110"/>
        <v>EXPIRED</v>
      </c>
      <c r="AF84" s="66"/>
      <c r="AG84" s="9" t="str">
        <f t="shared" ca="1" si="131"/>
        <v>EXPIRED</v>
      </c>
      <c r="AH84" s="9" t="str">
        <f t="shared" ca="1" si="132"/>
        <v>--</v>
      </c>
      <c r="AI84" s="9" t="str">
        <f t="shared" ca="1" si="133"/>
        <v>EXPIRED</v>
      </c>
      <c r="AJ84" s="9" t="str">
        <f t="shared" ca="1" si="134"/>
        <v>--</v>
      </c>
      <c r="AK84" s="9" t="str">
        <f t="shared" ca="1" si="135"/>
        <v>EXPIRED</v>
      </c>
      <c r="AL84" s="9" t="str">
        <f t="shared" ca="1" si="136"/>
        <v>--</v>
      </c>
      <c r="AM84" s="9" t="str">
        <f t="shared" ca="1" si="111"/>
        <v>EXPIRED</v>
      </c>
      <c r="AN84" s="66"/>
      <c r="AO84" s="9" t="str">
        <f t="shared" ca="1" si="137"/>
        <v>EXPIRED</v>
      </c>
      <c r="AP84" s="9" t="str">
        <f t="shared" ca="1" si="138"/>
        <v>--</v>
      </c>
      <c r="AQ84" s="9" t="str">
        <f t="shared" ca="1" si="139"/>
        <v>EXPIRED</v>
      </c>
      <c r="AR84" s="9" t="str">
        <f t="shared" ca="1" si="140"/>
        <v>--</v>
      </c>
      <c r="AS84" s="9" t="str">
        <f t="shared" ca="1" si="141"/>
        <v>EXPIRED</v>
      </c>
      <c r="AT84" s="9" t="str">
        <f t="shared" ca="1" si="142"/>
        <v>--</v>
      </c>
      <c r="AU84" s="9" t="str">
        <f t="shared" ca="1" si="112"/>
        <v>EXPIRED</v>
      </c>
      <c r="AV84" s="66"/>
      <c r="AW84" s="9" t="str">
        <f t="shared" ca="1" si="143"/>
        <v>EXPIRED</v>
      </c>
      <c r="AX84" s="9" t="str">
        <f t="shared" ca="1" si="144"/>
        <v>--</v>
      </c>
      <c r="AY84" s="9" t="str">
        <f t="shared" ca="1" si="145"/>
        <v>EXPIRED</v>
      </c>
      <c r="AZ84" s="9" t="str">
        <f t="shared" ca="1" si="146"/>
        <v>--</v>
      </c>
      <c r="BA84" s="9" t="str">
        <f t="shared" ca="1" si="147"/>
        <v>EXPIRED</v>
      </c>
      <c r="BB84" s="9" t="str">
        <f t="shared" ca="1" si="148"/>
        <v>--</v>
      </c>
      <c r="BC84" s="9" t="str">
        <f t="shared" ca="1" si="113"/>
        <v>EXPIRED</v>
      </c>
      <c r="BD84" s="66"/>
    </row>
    <row r="85" spans="1:56" x14ac:dyDescent="0.25">
      <c r="A85" s="14">
        <f t="shared" si="114"/>
        <v>74</v>
      </c>
      <c r="B85" s="14">
        <f t="shared" si="114"/>
        <v>114</v>
      </c>
      <c r="C85" s="38">
        <f t="shared" si="109"/>
        <v>4.3292504462035915</v>
      </c>
      <c r="D85" s="66"/>
      <c r="E85" s="32" t="str">
        <f t="shared" ca="1" si="115"/>
        <v>EXPIRED</v>
      </c>
      <c r="F85" s="32" t="str">
        <f t="shared" ca="1" si="116"/>
        <v>--</v>
      </c>
      <c r="G85" s="32" t="str">
        <f t="shared" ca="1" si="117"/>
        <v>EXPIRED</v>
      </c>
      <c r="H85" s="32" t="str">
        <f ca="1">IF(Message&lt;&gt;"","--",I85*(1-IF(OR(Income!P84="NA",Income!P84=0),0.2,Income!P84)))</f>
        <v>--</v>
      </c>
      <c r="I85" s="32" t="str">
        <f t="shared" ca="1" si="118"/>
        <v>EXPIRED</v>
      </c>
      <c r="J85" s="66"/>
      <c r="K85" s="74" t="str">
        <f ca="1">IF(Message&lt;&gt;"",Message,Income!M84+Dashboard!I137+Dashboard!K137-Taxes!BR90)</f>
        <v>EXPIRED</v>
      </c>
      <c r="L85" s="74" t="str">
        <f t="shared" ca="1" si="119"/>
        <v>EXPIRED</v>
      </c>
      <c r="M85" s="5" t="str">
        <f t="shared" ca="1" si="120"/>
        <v>EXPIRED</v>
      </c>
      <c r="N85" s="5" t="str">
        <f ca="1">IF(Message&lt;&gt;"",Message,MAX(MIN(Target401K*C85,SUM(Income!D84:J84),W85+K85),-I84)+IF(W85+K85&lt;0,-M85,0))</f>
        <v>EXPIRED</v>
      </c>
      <c r="O85" s="66"/>
      <c r="P85" s="71" t="str">
        <f t="shared" ca="1" si="121"/>
        <v>EXPIRED</v>
      </c>
      <c r="Q85" s="71" t="str">
        <f t="shared" ca="1" si="122"/>
        <v>EXPIRED</v>
      </c>
      <c r="R85" s="66"/>
      <c r="S85" s="9" t="str">
        <f t="shared" ca="1" si="123"/>
        <v>EXPIRED</v>
      </c>
      <c r="T85" s="9" t="str">
        <f t="shared" ca="1" si="149"/>
        <v>EXPIRED</v>
      </c>
      <c r="U85" s="9">
        <f ca="1">+Taxes!L90</f>
        <v>0</v>
      </c>
      <c r="V85" s="9" t="str">
        <f t="shared" ca="1" si="124"/>
        <v>EXPIRED</v>
      </c>
      <c r="W85" s="9" t="e">
        <f t="shared" ca="1" si="150"/>
        <v>#VALUE!</v>
      </c>
      <c r="X85" s="66"/>
      <c r="Y85" s="9" t="str">
        <f t="shared" ca="1" si="125"/>
        <v>EXPIRED</v>
      </c>
      <c r="Z85" s="9" t="str">
        <f t="shared" ca="1" si="126"/>
        <v>--</v>
      </c>
      <c r="AA85" s="9" t="str">
        <f t="shared" ca="1" si="127"/>
        <v>EXPIRED</v>
      </c>
      <c r="AB85" s="9" t="str">
        <f t="shared" ca="1" si="128"/>
        <v>--</v>
      </c>
      <c r="AC85" s="9" t="str">
        <f t="shared" ca="1" si="129"/>
        <v>EXPIRED</v>
      </c>
      <c r="AD85" s="9" t="str">
        <f t="shared" ca="1" si="130"/>
        <v>--</v>
      </c>
      <c r="AE85" s="9" t="str">
        <f t="shared" ca="1" si="110"/>
        <v>EXPIRED</v>
      </c>
      <c r="AF85" s="66"/>
      <c r="AG85" s="9" t="str">
        <f t="shared" ca="1" si="131"/>
        <v>EXPIRED</v>
      </c>
      <c r="AH85" s="9" t="str">
        <f t="shared" ca="1" si="132"/>
        <v>--</v>
      </c>
      <c r="AI85" s="9" t="str">
        <f t="shared" ca="1" si="133"/>
        <v>EXPIRED</v>
      </c>
      <c r="AJ85" s="9" t="str">
        <f t="shared" ca="1" si="134"/>
        <v>--</v>
      </c>
      <c r="AK85" s="9" t="str">
        <f t="shared" ca="1" si="135"/>
        <v>EXPIRED</v>
      </c>
      <c r="AL85" s="9" t="str">
        <f t="shared" ca="1" si="136"/>
        <v>--</v>
      </c>
      <c r="AM85" s="9" t="str">
        <f t="shared" ca="1" si="111"/>
        <v>EXPIRED</v>
      </c>
      <c r="AN85" s="66"/>
      <c r="AO85" s="9" t="str">
        <f t="shared" ca="1" si="137"/>
        <v>EXPIRED</v>
      </c>
      <c r="AP85" s="9" t="str">
        <f t="shared" ca="1" si="138"/>
        <v>--</v>
      </c>
      <c r="AQ85" s="9" t="str">
        <f t="shared" ca="1" si="139"/>
        <v>EXPIRED</v>
      </c>
      <c r="AR85" s="9" t="str">
        <f t="shared" ca="1" si="140"/>
        <v>--</v>
      </c>
      <c r="AS85" s="9" t="str">
        <f t="shared" ca="1" si="141"/>
        <v>EXPIRED</v>
      </c>
      <c r="AT85" s="9" t="str">
        <f t="shared" ca="1" si="142"/>
        <v>--</v>
      </c>
      <c r="AU85" s="9" t="str">
        <f t="shared" ca="1" si="112"/>
        <v>EXPIRED</v>
      </c>
      <c r="AV85" s="66"/>
      <c r="AW85" s="9" t="str">
        <f t="shared" ca="1" si="143"/>
        <v>EXPIRED</v>
      </c>
      <c r="AX85" s="9" t="str">
        <f t="shared" ca="1" si="144"/>
        <v>--</v>
      </c>
      <c r="AY85" s="9" t="str">
        <f t="shared" ca="1" si="145"/>
        <v>EXPIRED</v>
      </c>
      <c r="AZ85" s="9" t="str">
        <f t="shared" ca="1" si="146"/>
        <v>--</v>
      </c>
      <c r="BA85" s="9" t="str">
        <f t="shared" ca="1" si="147"/>
        <v>EXPIRED</v>
      </c>
      <c r="BB85" s="9" t="str">
        <f t="shared" ca="1" si="148"/>
        <v>--</v>
      </c>
      <c r="BC85" s="9" t="str">
        <f t="shared" ca="1" si="113"/>
        <v>EXPIRED</v>
      </c>
      <c r="BD85" s="66"/>
    </row>
    <row r="86" spans="1:56" x14ac:dyDescent="0.25">
      <c r="A86" s="14">
        <f t="shared" si="114"/>
        <v>75</v>
      </c>
      <c r="B86" s="14">
        <f t="shared" si="114"/>
        <v>115</v>
      </c>
      <c r="C86" s="38">
        <f t="shared" si="109"/>
        <v>4.4158354551276622</v>
      </c>
      <c r="D86" s="66"/>
      <c r="E86" s="32" t="str">
        <f t="shared" ca="1" si="115"/>
        <v>EXPIRED</v>
      </c>
      <c r="F86" s="32" t="str">
        <f t="shared" ca="1" si="116"/>
        <v>--</v>
      </c>
      <c r="G86" s="32" t="str">
        <f t="shared" ca="1" si="117"/>
        <v>EXPIRED</v>
      </c>
      <c r="H86" s="32" t="str">
        <f ca="1">IF(Message&lt;&gt;"","--",I86*(1-IF(OR(Income!P85="NA",Income!P85=0),0.2,Income!P85)))</f>
        <v>--</v>
      </c>
      <c r="I86" s="32" t="str">
        <f t="shared" ca="1" si="118"/>
        <v>EXPIRED</v>
      </c>
      <c r="J86" s="66"/>
      <c r="K86" s="74" t="str">
        <f ca="1">IF(Message&lt;&gt;"",Message,Income!M85+Dashboard!I138+Dashboard!K138-Taxes!BR91)</f>
        <v>EXPIRED</v>
      </c>
      <c r="L86" s="74" t="str">
        <f t="shared" ca="1" si="119"/>
        <v>EXPIRED</v>
      </c>
      <c r="M86" s="5" t="str">
        <f t="shared" ca="1" si="120"/>
        <v>EXPIRED</v>
      </c>
      <c r="N86" s="5" t="str">
        <f ca="1">IF(Message&lt;&gt;"",Message,MAX(MIN(Target401K*C86,SUM(Income!D85:J85),W86+K86),-I85)+IF(W86+K86&lt;0,-M86,0))</f>
        <v>EXPIRED</v>
      </c>
      <c r="O86" s="66"/>
      <c r="P86" s="71" t="str">
        <f t="shared" ca="1" si="121"/>
        <v>EXPIRED</v>
      </c>
      <c r="Q86" s="71" t="str">
        <f t="shared" ca="1" si="122"/>
        <v>EXPIRED</v>
      </c>
      <c r="R86" s="66"/>
      <c r="S86" s="9" t="str">
        <f t="shared" ca="1" si="123"/>
        <v>EXPIRED</v>
      </c>
      <c r="T86" s="9" t="str">
        <f t="shared" ca="1" si="149"/>
        <v>EXPIRED</v>
      </c>
      <c r="U86" s="9">
        <f ca="1">+Taxes!L91</f>
        <v>0</v>
      </c>
      <c r="V86" s="9" t="str">
        <f t="shared" ca="1" si="124"/>
        <v>EXPIRED</v>
      </c>
      <c r="W86" s="9" t="e">
        <f t="shared" ca="1" si="150"/>
        <v>#VALUE!</v>
      </c>
      <c r="X86" s="66"/>
      <c r="Y86" s="9" t="str">
        <f t="shared" ca="1" si="125"/>
        <v>EXPIRED</v>
      </c>
      <c r="Z86" s="9" t="str">
        <f t="shared" ca="1" si="126"/>
        <v>--</v>
      </c>
      <c r="AA86" s="9" t="str">
        <f t="shared" ca="1" si="127"/>
        <v>EXPIRED</v>
      </c>
      <c r="AB86" s="9" t="str">
        <f t="shared" ca="1" si="128"/>
        <v>--</v>
      </c>
      <c r="AC86" s="9" t="str">
        <f t="shared" ca="1" si="129"/>
        <v>EXPIRED</v>
      </c>
      <c r="AD86" s="9" t="str">
        <f t="shared" ca="1" si="130"/>
        <v>--</v>
      </c>
      <c r="AE86" s="9" t="str">
        <f t="shared" ca="1" si="110"/>
        <v>EXPIRED</v>
      </c>
      <c r="AF86" s="66"/>
      <c r="AG86" s="9" t="str">
        <f t="shared" ca="1" si="131"/>
        <v>EXPIRED</v>
      </c>
      <c r="AH86" s="9" t="str">
        <f t="shared" ca="1" si="132"/>
        <v>--</v>
      </c>
      <c r="AI86" s="9" t="str">
        <f t="shared" ca="1" si="133"/>
        <v>EXPIRED</v>
      </c>
      <c r="AJ86" s="9" t="str">
        <f t="shared" ca="1" si="134"/>
        <v>--</v>
      </c>
      <c r="AK86" s="9" t="str">
        <f t="shared" ca="1" si="135"/>
        <v>EXPIRED</v>
      </c>
      <c r="AL86" s="9" t="str">
        <f t="shared" ca="1" si="136"/>
        <v>--</v>
      </c>
      <c r="AM86" s="9" t="str">
        <f t="shared" ca="1" si="111"/>
        <v>EXPIRED</v>
      </c>
      <c r="AN86" s="66"/>
      <c r="AO86" s="9" t="str">
        <f t="shared" ca="1" si="137"/>
        <v>EXPIRED</v>
      </c>
      <c r="AP86" s="9" t="str">
        <f t="shared" ca="1" si="138"/>
        <v>--</v>
      </c>
      <c r="AQ86" s="9" t="str">
        <f t="shared" ca="1" si="139"/>
        <v>EXPIRED</v>
      </c>
      <c r="AR86" s="9" t="str">
        <f t="shared" ca="1" si="140"/>
        <v>--</v>
      </c>
      <c r="AS86" s="9" t="str">
        <f t="shared" ca="1" si="141"/>
        <v>EXPIRED</v>
      </c>
      <c r="AT86" s="9" t="str">
        <f t="shared" ca="1" si="142"/>
        <v>--</v>
      </c>
      <c r="AU86" s="9" t="str">
        <f t="shared" ca="1" si="112"/>
        <v>EXPIRED</v>
      </c>
      <c r="AV86" s="66"/>
      <c r="AW86" s="9" t="str">
        <f t="shared" ca="1" si="143"/>
        <v>EXPIRED</v>
      </c>
      <c r="AX86" s="9" t="str">
        <f t="shared" ca="1" si="144"/>
        <v>--</v>
      </c>
      <c r="AY86" s="9" t="str">
        <f t="shared" ca="1" si="145"/>
        <v>EXPIRED</v>
      </c>
      <c r="AZ86" s="9" t="str">
        <f t="shared" ca="1" si="146"/>
        <v>--</v>
      </c>
      <c r="BA86" s="9" t="str">
        <f t="shared" ca="1" si="147"/>
        <v>EXPIRED</v>
      </c>
      <c r="BB86" s="9" t="str">
        <f t="shared" ca="1" si="148"/>
        <v>--</v>
      </c>
      <c r="BC86" s="9" t="str">
        <f t="shared" ca="1" si="113"/>
        <v>EXPIRED</v>
      </c>
      <c r="BD86" s="66"/>
    </row>
    <row r="87" spans="1:56" x14ac:dyDescent="0.25">
      <c r="A87" s="14">
        <f t="shared" si="114"/>
        <v>76</v>
      </c>
      <c r="B87" s="14">
        <f t="shared" si="114"/>
        <v>116</v>
      </c>
      <c r="C87" s="38">
        <f t="shared" si="109"/>
        <v>4.5041521642302165</v>
      </c>
      <c r="D87" s="66"/>
      <c r="E87" s="32" t="str">
        <f t="shared" ca="1" si="115"/>
        <v>EXPIRED</v>
      </c>
      <c r="F87" s="32" t="str">
        <f t="shared" ca="1" si="116"/>
        <v>--</v>
      </c>
      <c r="G87" s="32" t="str">
        <f t="shared" ca="1" si="117"/>
        <v>EXPIRED</v>
      </c>
      <c r="H87" s="32" t="str">
        <f ca="1">IF(Message&lt;&gt;"","--",I87*(1-IF(OR(Income!P86="NA",Income!P86=0),0.2,Income!P86)))</f>
        <v>--</v>
      </c>
      <c r="I87" s="32" t="str">
        <f t="shared" ca="1" si="118"/>
        <v>EXPIRED</v>
      </c>
      <c r="J87" s="66"/>
      <c r="K87" s="74" t="str">
        <f ca="1">IF(Message&lt;&gt;"",Message,Income!M86+Dashboard!I139+Dashboard!K139-Taxes!BR92)</f>
        <v>EXPIRED</v>
      </c>
      <c r="L87" s="74" t="str">
        <f t="shared" ca="1" si="119"/>
        <v>EXPIRED</v>
      </c>
      <c r="M87" s="5" t="str">
        <f t="shared" ca="1" si="120"/>
        <v>EXPIRED</v>
      </c>
      <c r="N87" s="5" t="str">
        <f ca="1">IF(Message&lt;&gt;"",Message,MAX(MIN(Target401K*C87,SUM(Income!D86:J86),W87+K87),-I86)+IF(W87+K87&lt;0,-M87,0))</f>
        <v>EXPIRED</v>
      </c>
      <c r="O87" s="66"/>
      <c r="P87" s="71" t="str">
        <f t="shared" ca="1" si="121"/>
        <v>EXPIRED</v>
      </c>
      <c r="Q87" s="71" t="str">
        <f t="shared" ca="1" si="122"/>
        <v>EXPIRED</v>
      </c>
      <c r="R87" s="66"/>
      <c r="S87" s="9" t="str">
        <f t="shared" ca="1" si="123"/>
        <v>EXPIRED</v>
      </c>
      <c r="T87" s="9" t="str">
        <f t="shared" ca="1" si="149"/>
        <v>EXPIRED</v>
      </c>
      <c r="U87" s="9">
        <f ca="1">+Taxes!L92</f>
        <v>0</v>
      </c>
      <c r="V87" s="9" t="str">
        <f t="shared" ca="1" si="124"/>
        <v>EXPIRED</v>
      </c>
      <c r="W87" s="9" t="e">
        <f t="shared" ca="1" si="150"/>
        <v>#VALUE!</v>
      </c>
      <c r="X87" s="66"/>
      <c r="Y87" s="9" t="str">
        <f t="shared" ca="1" si="125"/>
        <v>EXPIRED</v>
      </c>
      <c r="Z87" s="9" t="str">
        <f t="shared" ca="1" si="126"/>
        <v>--</v>
      </c>
      <c r="AA87" s="9" t="str">
        <f t="shared" ca="1" si="127"/>
        <v>EXPIRED</v>
      </c>
      <c r="AB87" s="9" t="str">
        <f t="shared" ca="1" si="128"/>
        <v>--</v>
      </c>
      <c r="AC87" s="9" t="str">
        <f t="shared" ca="1" si="129"/>
        <v>EXPIRED</v>
      </c>
      <c r="AD87" s="9" t="str">
        <f t="shared" ca="1" si="130"/>
        <v>--</v>
      </c>
      <c r="AE87" s="9" t="str">
        <f t="shared" ca="1" si="110"/>
        <v>EXPIRED</v>
      </c>
      <c r="AF87" s="66"/>
      <c r="AG87" s="9" t="str">
        <f t="shared" ca="1" si="131"/>
        <v>EXPIRED</v>
      </c>
      <c r="AH87" s="9" t="str">
        <f t="shared" ca="1" si="132"/>
        <v>--</v>
      </c>
      <c r="AI87" s="9" t="str">
        <f t="shared" ca="1" si="133"/>
        <v>EXPIRED</v>
      </c>
      <c r="AJ87" s="9" t="str">
        <f t="shared" ca="1" si="134"/>
        <v>--</v>
      </c>
      <c r="AK87" s="9" t="str">
        <f t="shared" ca="1" si="135"/>
        <v>EXPIRED</v>
      </c>
      <c r="AL87" s="9" t="str">
        <f t="shared" ca="1" si="136"/>
        <v>--</v>
      </c>
      <c r="AM87" s="9" t="str">
        <f t="shared" ca="1" si="111"/>
        <v>EXPIRED</v>
      </c>
      <c r="AN87" s="66"/>
      <c r="AO87" s="9" t="str">
        <f t="shared" ca="1" si="137"/>
        <v>EXPIRED</v>
      </c>
      <c r="AP87" s="9" t="str">
        <f t="shared" ca="1" si="138"/>
        <v>--</v>
      </c>
      <c r="AQ87" s="9" t="str">
        <f t="shared" ca="1" si="139"/>
        <v>EXPIRED</v>
      </c>
      <c r="AR87" s="9" t="str">
        <f t="shared" ca="1" si="140"/>
        <v>--</v>
      </c>
      <c r="AS87" s="9" t="str">
        <f t="shared" ca="1" si="141"/>
        <v>EXPIRED</v>
      </c>
      <c r="AT87" s="9" t="str">
        <f t="shared" ca="1" si="142"/>
        <v>--</v>
      </c>
      <c r="AU87" s="9" t="str">
        <f t="shared" ca="1" si="112"/>
        <v>EXPIRED</v>
      </c>
      <c r="AV87" s="66"/>
      <c r="AW87" s="9" t="str">
        <f t="shared" ca="1" si="143"/>
        <v>EXPIRED</v>
      </c>
      <c r="AX87" s="9" t="str">
        <f t="shared" ca="1" si="144"/>
        <v>--</v>
      </c>
      <c r="AY87" s="9" t="str">
        <f t="shared" ca="1" si="145"/>
        <v>EXPIRED</v>
      </c>
      <c r="AZ87" s="9" t="str">
        <f t="shared" ca="1" si="146"/>
        <v>--</v>
      </c>
      <c r="BA87" s="9" t="str">
        <f t="shared" ca="1" si="147"/>
        <v>EXPIRED</v>
      </c>
      <c r="BB87" s="9" t="str">
        <f t="shared" ca="1" si="148"/>
        <v>--</v>
      </c>
      <c r="BC87" s="9" t="str">
        <f t="shared" ca="1" si="113"/>
        <v>EXPIRED</v>
      </c>
      <c r="BD87" s="66"/>
    </row>
    <row r="88" spans="1:56" x14ac:dyDescent="0.25">
      <c r="A88" s="14">
        <f t="shared" si="114"/>
        <v>77</v>
      </c>
      <c r="B88" s="14">
        <f t="shared" si="114"/>
        <v>117</v>
      </c>
      <c r="C88" s="38">
        <f t="shared" si="109"/>
        <v>4.5942352075148207</v>
      </c>
      <c r="D88" s="66"/>
      <c r="E88" s="32" t="str">
        <f t="shared" ca="1" si="115"/>
        <v>EXPIRED</v>
      </c>
      <c r="F88" s="32" t="str">
        <f t="shared" ca="1" si="116"/>
        <v>--</v>
      </c>
      <c r="G88" s="32" t="str">
        <f t="shared" ca="1" si="117"/>
        <v>EXPIRED</v>
      </c>
      <c r="H88" s="32" t="str">
        <f ca="1">IF(Message&lt;&gt;"","--",I88*(1-IF(OR(Income!P87="NA",Income!P87=0),0.2,Income!P87)))</f>
        <v>--</v>
      </c>
      <c r="I88" s="32" t="str">
        <f t="shared" ca="1" si="118"/>
        <v>EXPIRED</v>
      </c>
      <c r="J88" s="66"/>
      <c r="K88" s="74" t="str">
        <f ca="1">IF(Message&lt;&gt;"",Message,Income!M87+Dashboard!I140+Dashboard!K140-Taxes!BR93)</f>
        <v>EXPIRED</v>
      </c>
      <c r="L88" s="74" t="str">
        <f t="shared" ca="1" si="119"/>
        <v>EXPIRED</v>
      </c>
      <c r="M88" s="5" t="str">
        <f t="shared" ca="1" si="120"/>
        <v>EXPIRED</v>
      </c>
      <c r="N88" s="5" t="str">
        <f ca="1">IF(Message&lt;&gt;"",Message,MAX(MIN(Target401K*C88,SUM(Income!D87:J87),W88+K88),-I87)+IF(W88+K88&lt;0,-M88,0))</f>
        <v>EXPIRED</v>
      </c>
      <c r="O88" s="66"/>
      <c r="P88" s="71" t="str">
        <f t="shared" ca="1" si="121"/>
        <v>EXPIRED</v>
      </c>
      <c r="Q88" s="71" t="str">
        <f t="shared" ca="1" si="122"/>
        <v>EXPIRED</v>
      </c>
      <c r="R88" s="66"/>
      <c r="S88" s="9" t="str">
        <f t="shared" ca="1" si="123"/>
        <v>EXPIRED</v>
      </c>
      <c r="T88" s="9" t="str">
        <f t="shared" ca="1" si="149"/>
        <v>EXPIRED</v>
      </c>
      <c r="U88" s="9">
        <f ca="1">+Taxes!L93</f>
        <v>0</v>
      </c>
      <c r="V88" s="9" t="str">
        <f t="shared" ca="1" si="124"/>
        <v>EXPIRED</v>
      </c>
      <c r="W88" s="9" t="e">
        <f t="shared" ca="1" si="150"/>
        <v>#VALUE!</v>
      </c>
      <c r="X88" s="66"/>
      <c r="Y88" s="9" t="str">
        <f t="shared" ca="1" si="125"/>
        <v>EXPIRED</v>
      </c>
      <c r="Z88" s="9" t="str">
        <f t="shared" ca="1" si="126"/>
        <v>--</v>
      </c>
      <c r="AA88" s="9" t="str">
        <f t="shared" ca="1" si="127"/>
        <v>EXPIRED</v>
      </c>
      <c r="AB88" s="9" t="str">
        <f t="shared" ca="1" si="128"/>
        <v>--</v>
      </c>
      <c r="AC88" s="9" t="str">
        <f t="shared" ca="1" si="129"/>
        <v>EXPIRED</v>
      </c>
      <c r="AD88" s="9" t="str">
        <f t="shared" ca="1" si="130"/>
        <v>--</v>
      </c>
      <c r="AE88" s="9" t="str">
        <f t="shared" ca="1" si="110"/>
        <v>EXPIRED</v>
      </c>
      <c r="AF88" s="66"/>
      <c r="AG88" s="9" t="str">
        <f t="shared" ca="1" si="131"/>
        <v>EXPIRED</v>
      </c>
      <c r="AH88" s="9" t="str">
        <f t="shared" ca="1" si="132"/>
        <v>--</v>
      </c>
      <c r="AI88" s="9" t="str">
        <f t="shared" ca="1" si="133"/>
        <v>EXPIRED</v>
      </c>
      <c r="AJ88" s="9" t="str">
        <f t="shared" ca="1" si="134"/>
        <v>--</v>
      </c>
      <c r="AK88" s="9" t="str">
        <f t="shared" ca="1" si="135"/>
        <v>EXPIRED</v>
      </c>
      <c r="AL88" s="9" t="str">
        <f t="shared" ca="1" si="136"/>
        <v>--</v>
      </c>
      <c r="AM88" s="9" t="str">
        <f t="shared" ca="1" si="111"/>
        <v>EXPIRED</v>
      </c>
      <c r="AN88" s="66"/>
      <c r="AO88" s="9" t="str">
        <f t="shared" ca="1" si="137"/>
        <v>EXPIRED</v>
      </c>
      <c r="AP88" s="9" t="str">
        <f t="shared" ca="1" si="138"/>
        <v>--</v>
      </c>
      <c r="AQ88" s="9" t="str">
        <f t="shared" ca="1" si="139"/>
        <v>EXPIRED</v>
      </c>
      <c r="AR88" s="9" t="str">
        <f t="shared" ca="1" si="140"/>
        <v>--</v>
      </c>
      <c r="AS88" s="9" t="str">
        <f t="shared" ca="1" si="141"/>
        <v>EXPIRED</v>
      </c>
      <c r="AT88" s="9" t="str">
        <f t="shared" ca="1" si="142"/>
        <v>--</v>
      </c>
      <c r="AU88" s="9" t="str">
        <f t="shared" ca="1" si="112"/>
        <v>EXPIRED</v>
      </c>
      <c r="AV88" s="66"/>
      <c r="AW88" s="9" t="str">
        <f t="shared" ca="1" si="143"/>
        <v>EXPIRED</v>
      </c>
      <c r="AX88" s="9" t="str">
        <f t="shared" ca="1" si="144"/>
        <v>--</v>
      </c>
      <c r="AY88" s="9" t="str">
        <f t="shared" ca="1" si="145"/>
        <v>EXPIRED</v>
      </c>
      <c r="AZ88" s="9" t="str">
        <f t="shared" ca="1" si="146"/>
        <v>--</v>
      </c>
      <c r="BA88" s="9" t="str">
        <f t="shared" ca="1" si="147"/>
        <v>EXPIRED</v>
      </c>
      <c r="BB88" s="9" t="str">
        <f t="shared" ca="1" si="148"/>
        <v>--</v>
      </c>
      <c r="BC88" s="9" t="str">
        <f t="shared" ca="1" si="113"/>
        <v>EXPIRED</v>
      </c>
      <c r="BD88" s="66"/>
    </row>
    <row r="89" spans="1:56" x14ac:dyDescent="0.25">
      <c r="A89" s="14">
        <f t="shared" si="114"/>
        <v>78</v>
      </c>
      <c r="B89" s="14">
        <f t="shared" si="114"/>
        <v>118</v>
      </c>
      <c r="C89" s="38">
        <f t="shared" si="109"/>
        <v>4.6861199116651173</v>
      </c>
      <c r="D89" s="66"/>
      <c r="E89" s="32" t="str">
        <f t="shared" ca="1" si="115"/>
        <v>EXPIRED</v>
      </c>
      <c r="F89" s="32" t="str">
        <f t="shared" ca="1" si="116"/>
        <v>--</v>
      </c>
      <c r="G89" s="32" t="str">
        <f t="shared" ca="1" si="117"/>
        <v>EXPIRED</v>
      </c>
      <c r="H89" s="32" t="str">
        <f ca="1">IF(Message&lt;&gt;"","--",I89*(1-IF(OR(Income!P88="NA",Income!P88=0),0.2,Income!P88)))</f>
        <v>--</v>
      </c>
      <c r="I89" s="32" t="str">
        <f t="shared" ca="1" si="118"/>
        <v>EXPIRED</v>
      </c>
      <c r="J89" s="66"/>
      <c r="K89" s="74" t="str">
        <f ca="1">IF(Message&lt;&gt;"",Message,Income!M88+Dashboard!I141+Dashboard!K141-Taxes!BR94)</f>
        <v>EXPIRED</v>
      </c>
      <c r="L89" s="74" t="str">
        <f t="shared" ca="1" si="119"/>
        <v>EXPIRED</v>
      </c>
      <c r="M89" s="5" t="str">
        <f t="shared" ca="1" si="120"/>
        <v>EXPIRED</v>
      </c>
      <c r="N89" s="5" t="str">
        <f ca="1">IF(Message&lt;&gt;"",Message,MAX(MIN(Target401K*C89,SUM(Income!D88:J88),W89+K89),-I88)+IF(W89+K89&lt;0,-M89,0))</f>
        <v>EXPIRED</v>
      </c>
      <c r="O89" s="66"/>
      <c r="P89" s="71" t="str">
        <f t="shared" ca="1" si="121"/>
        <v>EXPIRED</v>
      </c>
      <c r="Q89" s="71" t="str">
        <f t="shared" ca="1" si="122"/>
        <v>EXPIRED</v>
      </c>
      <c r="R89" s="66"/>
      <c r="S89" s="9" t="str">
        <f t="shared" ca="1" si="123"/>
        <v>EXPIRED</v>
      </c>
      <c r="T89" s="9" t="str">
        <f t="shared" ca="1" si="149"/>
        <v>EXPIRED</v>
      </c>
      <c r="U89" s="9">
        <f ca="1">+Taxes!L94</f>
        <v>0</v>
      </c>
      <c r="V89" s="9" t="str">
        <f t="shared" ca="1" si="124"/>
        <v>EXPIRED</v>
      </c>
      <c r="W89" s="9" t="e">
        <f t="shared" ca="1" si="150"/>
        <v>#VALUE!</v>
      </c>
      <c r="X89" s="66"/>
      <c r="Y89" s="9" t="str">
        <f t="shared" ca="1" si="125"/>
        <v>EXPIRED</v>
      </c>
      <c r="Z89" s="9" t="str">
        <f t="shared" ca="1" si="126"/>
        <v>--</v>
      </c>
      <c r="AA89" s="9" t="str">
        <f t="shared" ca="1" si="127"/>
        <v>EXPIRED</v>
      </c>
      <c r="AB89" s="9" t="str">
        <f t="shared" ca="1" si="128"/>
        <v>--</v>
      </c>
      <c r="AC89" s="9" t="str">
        <f t="shared" ca="1" si="129"/>
        <v>EXPIRED</v>
      </c>
      <c r="AD89" s="9" t="str">
        <f t="shared" ca="1" si="130"/>
        <v>--</v>
      </c>
      <c r="AE89" s="9" t="str">
        <f t="shared" ca="1" si="110"/>
        <v>EXPIRED</v>
      </c>
      <c r="AF89" s="66"/>
      <c r="AG89" s="9" t="str">
        <f t="shared" ca="1" si="131"/>
        <v>EXPIRED</v>
      </c>
      <c r="AH89" s="9" t="str">
        <f t="shared" ca="1" si="132"/>
        <v>--</v>
      </c>
      <c r="AI89" s="9" t="str">
        <f t="shared" ca="1" si="133"/>
        <v>EXPIRED</v>
      </c>
      <c r="AJ89" s="9" t="str">
        <f t="shared" ca="1" si="134"/>
        <v>--</v>
      </c>
      <c r="AK89" s="9" t="str">
        <f t="shared" ca="1" si="135"/>
        <v>EXPIRED</v>
      </c>
      <c r="AL89" s="9" t="str">
        <f t="shared" ca="1" si="136"/>
        <v>--</v>
      </c>
      <c r="AM89" s="9" t="str">
        <f t="shared" ca="1" si="111"/>
        <v>EXPIRED</v>
      </c>
      <c r="AN89" s="66"/>
      <c r="AO89" s="9" t="str">
        <f t="shared" ca="1" si="137"/>
        <v>EXPIRED</v>
      </c>
      <c r="AP89" s="9" t="str">
        <f t="shared" ca="1" si="138"/>
        <v>--</v>
      </c>
      <c r="AQ89" s="9" t="str">
        <f t="shared" ca="1" si="139"/>
        <v>EXPIRED</v>
      </c>
      <c r="AR89" s="9" t="str">
        <f t="shared" ca="1" si="140"/>
        <v>--</v>
      </c>
      <c r="AS89" s="9" t="str">
        <f t="shared" ca="1" si="141"/>
        <v>EXPIRED</v>
      </c>
      <c r="AT89" s="9" t="str">
        <f t="shared" ca="1" si="142"/>
        <v>--</v>
      </c>
      <c r="AU89" s="9" t="str">
        <f t="shared" ca="1" si="112"/>
        <v>EXPIRED</v>
      </c>
      <c r="AV89" s="66"/>
      <c r="AW89" s="9" t="str">
        <f t="shared" ca="1" si="143"/>
        <v>EXPIRED</v>
      </c>
      <c r="AX89" s="9" t="str">
        <f t="shared" ca="1" si="144"/>
        <v>--</v>
      </c>
      <c r="AY89" s="9" t="str">
        <f t="shared" ca="1" si="145"/>
        <v>EXPIRED</v>
      </c>
      <c r="AZ89" s="9" t="str">
        <f t="shared" ca="1" si="146"/>
        <v>--</v>
      </c>
      <c r="BA89" s="9" t="str">
        <f t="shared" ca="1" si="147"/>
        <v>EXPIRED</v>
      </c>
      <c r="BB89" s="9" t="str">
        <f t="shared" ca="1" si="148"/>
        <v>--</v>
      </c>
      <c r="BC89" s="9" t="str">
        <f t="shared" ca="1" si="113"/>
        <v>EXPIRED</v>
      </c>
      <c r="BD89" s="66"/>
    </row>
    <row r="90" spans="1:56" x14ac:dyDescent="0.25">
      <c r="A90" s="14">
        <f t="shared" si="114"/>
        <v>79</v>
      </c>
      <c r="B90" s="14">
        <f t="shared" si="114"/>
        <v>119</v>
      </c>
      <c r="C90" s="38">
        <f t="shared" si="109"/>
        <v>4.7798423098984184</v>
      </c>
      <c r="D90" s="66"/>
      <c r="E90" s="32" t="str">
        <f t="shared" ca="1" si="115"/>
        <v>EXPIRED</v>
      </c>
      <c r="F90" s="32" t="str">
        <f t="shared" ca="1" si="116"/>
        <v>--</v>
      </c>
      <c r="G90" s="32" t="str">
        <f t="shared" ca="1" si="117"/>
        <v>EXPIRED</v>
      </c>
      <c r="H90" s="32" t="str">
        <f ca="1">IF(Message&lt;&gt;"","--",I90*(1-IF(OR(Income!P89="NA",Income!P89=0),0.2,Income!P89)))</f>
        <v>--</v>
      </c>
      <c r="I90" s="32" t="str">
        <f t="shared" ca="1" si="118"/>
        <v>EXPIRED</v>
      </c>
      <c r="J90" s="66"/>
      <c r="K90" s="74" t="str">
        <f ca="1">IF(Message&lt;&gt;"",Message,Income!M89+Dashboard!I142+Dashboard!K142-Taxes!BR95)</f>
        <v>EXPIRED</v>
      </c>
      <c r="L90" s="74" t="str">
        <f t="shared" ca="1" si="119"/>
        <v>EXPIRED</v>
      </c>
      <c r="M90" s="5" t="str">
        <f t="shared" ca="1" si="120"/>
        <v>EXPIRED</v>
      </c>
      <c r="N90" s="5" t="str">
        <f ca="1">IF(Message&lt;&gt;"",Message,MAX(MIN(Target401K*C90,SUM(Income!D89:J89),W90+K90),-I89)+IF(W90+K90&lt;0,-M90,0))</f>
        <v>EXPIRED</v>
      </c>
      <c r="O90" s="66"/>
      <c r="P90" s="71" t="str">
        <f t="shared" ca="1" si="121"/>
        <v>EXPIRED</v>
      </c>
      <c r="Q90" s="71" t="str">
        <f t="shared" ca="1" si="122"/>
        <v>EXPIRED</v>
      </c>
      <c r="R90" s="66"/>
      <c r="S90" s="9" t="str">
        <f t="shared" ca="1" si="123"/>
        <v>EXPIRED</v>
      </c>
      <c r="T90" s="9" t="str">
        <f t="shared" ca="1" si="149"/>
        <v>EXPIRED</v>
      </c>
      <c r="U90" s="9">
        <f ca="1">+Taxes!L95</f>
        <v>0</v>
      </c>
      <c r="V90" s="9" t="str">
        <f t="shared" ca="1" si="124"/>
        <v>EXPIRED</v>
      </c>
      <c r="W90" s="9" t="e">
        <f t="shared" ca="1" si="150"/>
        <v>#VALUE!</v>
      </c>
      <c r="X90" s="66"/>
      <c r="Y90" s="9" t="str">
        <f t="shared" ca="1" si="125"/>
        <v>EXPIRED</v>
      </c>
      <c r="Z90" s="9" t="str">
        <f t="shared" ca="1" si="126"/>
        <v>--</v>
      </c>
      <c r="AA90" s="9" t="str">
        <f t="shared" ca="1" si="127"/>
        <v>EXPIRED</v>
      </c>
      <c r="AB90" s="9" t="str">
        <f t="shared" ca="1" si="128"/>
        <v>--</v>
      </c>
      <c r="AC90" s="9" t="str">
        <f t="shared" ca="1" si="129"/>
        <v>EXPIRED</v>
      </c>
      <c r="AD90" s="9" t="str">
        <f t="shared" ca="1" si="130"/>
        <v>--</v>
      </c>
      <c r="AE90" s="9" t="str">
        <f t="shared" ca="1" si="110"/>
        <v>EXPIRED</v>
      </c>
      <c r="AF90" s="66"/>
      <c r="AG90" s="9" t="str">
        <f t="shared" ca="1" si="131"/>
        <v>EXPIRED</v>
      </c>
      <c r="AH90" s="9" t="str">
        <f t="shared" ca="1" si="132"/>
        <v>--</v>
      </c>
      <c r="AI90" s="9" t="str">
        <f t="shared" ca="1" si="133"/>
        <v>EXPIRED</v>
      </c>
      <c r="AJ90" s="9" t="str">
        <f t="shared" ca="1" si="134"/>
        <v>--</v>
      </c>
      <c r="AK90" s="9" t="str">
        <f t="shared" ca="1" si="135"/>
        <v>EXPIRED</v>
      </c>
      <c r="AL90" s="9" t="str">
        <f t="shared" ca="1" si="136"/>
        <v>--</v>
      </c>
      <c r="AM90" s="9" t="str">
        <f t="shared" ca="1" si="111"/>
        <v>EXPIRED</v>
      </c>
      <c r="AN90" s="66"/>
      <c r="AO90" s="9" t="str">
        <f t="shared" ca="1" si="137"/>
        <v>EXPIRED</v>
      </c>
      <c r="AP90" s="9" t="str">
        <f t="shared" ca="1" si="138"/>
        <v>--</v>
      </c>
      <c r="AQ90" s="9" t="str">
        <f t="shared" ca="1" si="139"/>
        <v>EXPIRED</v>
      </c>
      <c r="AR90" s="9" t="str">
        <f t="shared" ca="1" si="140"/>
        <v>--</v>
      </c>
      <c r="AS90" s="9" t="str">
        <f t="shared" ca="1" si="141"/>
        <v>EXPIRED</v>
      </c>
      <c r="AT90" s="9" t="str">
        <f t="shared" ca="1" si="142"/>
        <v>--</v>
      </c>
      <c r="AU90" s="9" t="str">
        <f t="shared" ca="1" si="112"/>
        <v>EXPIRED</v>
      </c>
      <c r="AV90" s="66"/>
      <c r="AW90" s="9" t="str">
        <f t="shared" ca="1" si="143"/>
        <v>EXPIRED</v>
      </c>
      <c r="AX90" s="9" t="str">
        <f t="shared" ca="1" si="144"/>
        <v>--</v>
      </c>
      <c r="AY90" s="9" t="str">
        <f t="shared" ca="1" si="145"/>
        <v>EXPIRED</v>
      </c>
      <c r="AZ90" s="9" t="str">
        <f t="shared" ca="1" si="146"/>
        <v>--</v>
      </c>
      <c r="BA90" s="9" t="str">
        <f t="shared" ca="1" si="147"/>
        <v>EXPIRED</v>
      </c>
      <c r="BB90" s="9" t="str">
        <f t="shared" ca="1" si="148"/>
        <v>--</v>
      </c>
      <c r="BC90" s="9" t="str">
        <f t="shared" ca="1" si="113"/>
        <v>EXPIRED</v>
      </c>
      <c r="BD90" s="66"/>
    </row>
    <row r="91" spans="1:56" x14ac:dyDescent="0.25">
      <c r="A91" s="14">
        <f t="shared" si="114"/>
        <v>80</v>
      </c>
      <c r="B91" s="14">
        <f t="shared" si="114"/>
        <v>120</v>
      </c>
      <c r="C91" s="38">
        <f t="shared" si="109"/>
        <v>4.8754391560963874</v>
      </c>
      <c r="D91" s="66"/>
      <c r="E91" s="32" t="str">
        <f t="shared" ca="1" si="115"/>
        <v>EXPIRED</v>
      </c>
      <c r="F91" s="32" t="str">
        <f t="shared" ca="1" si="116"/>
        <v>--</v>
      </c>
      <c r="G91" s="32" t="str">
        <f t="shared" ca="1" si="117"/>
        <v>EXPIRED</v>
      </c>
      <c r="H91" s="32" t="str">
        <f ca="1">IF(Message&lt;&gt;"","--",I91*(1-IF(OR(Income!P90="NA",Income!P90=0),0.2,Income!P90)))</f>
        <v>--</v>
      </c>
      <c r="I91" s="32" t="str">
        <f t="shared" ca="1" si="118"/>
        <v>EXPIRED</v>
      </c>
      <c r="J91" s="66"/>
      <c r="K91" s="74" t="str">
        <f ca="1">IF(Message&lt;&gt;"",Message,Income!M90+Dashboard!I143+Dashboard!K143-Taxes!BR96)</f>
        <v>EXPIRED</v>
      </c>
      <c r="L91" s="74" t="str">
        <f t="shared" ca="1" si="119"/>
        <v>EXPIRED</v>
      </c>
      <c r="M91" s="5" t="str">
        <f t="shared" ca="1" si="120"/>
        <v>EXPIRED</v>
      </c>
      <c r="N91" s="5" t="str">
        <f ca="1">IF(Message&lt;&gt;"",Message,MAX(MIN(Target401K*C91,SUM(Income!D90:J90),W91+K91),-I90)+IF(W91+K91&lt;0,-M91,0))</f>
        <v>EXPIRED</v>
      </c>
      <c r="O91" s="66"/>
      <c r="P91" s="71" t="str">
        <f t="shared" ca="1" si="121"/>
        <v>EXPIRED</v>
      </c>
      <c r="Q91" s="71" t="str">
        <f t="shared" ca="1" si="122"/>
        <v>EXPIRED</v>
      </c>
      <c r="R91" s="66"/>
      <c r="S91" s="9" t="str">
        <f t="shared" ca="1" si="123"/>
        <v>EXPIRED</v>
      </c>
      <c r="T91" s="9" t="str">
        <f t="shared" ca="1" si="149"/>
        <v>EXPIRED</v>
      </c>
      <c r="U91" s="9">
        <f ca="1">+Taxes!L96</f>
        <v>0</v>
      </c>
      <c r="V91" s="9" t="str">
        <f t="shared" ca="1" si="124"/>
        <v>EXPIRED</v>
      </c>
      <c r="W91" s="9" t="e">
        <f t="shared" ca="1" si="150"/>
        <v>#VALUE!</v>
      </c>
      <c r="X91" s="66"/>
      <c r="Y91" s="9" t="str">
        <f t="shared" ca="1" si="125"/>
        <v>EXPIRED</v>
      </c>
      <c r="Z91" s="9" t="str">
        <f t="shared" ca="1" si="126"/>
        <v>--</v>
      </c>
      <c r="AA91" s="9" t="str">
        <f t="shared" ca="1" si="127"/>
        <v>EXPIRED</v>
      </c>
      <c r="AB91" s="9" t="str">
        <f t="shared" ca="1" si="128"/>
        <v>--</v>
      </c>
      <c r="AC91" s="9" t="str">
        <f t="shared" ca="1" si="129"/>
        <v>EXPIRED</v>
      </c>
      <c r="AD91" s="9" t="str">
        <f t="shared" ca="1" si="130"/>
        <v>--</v>
      </c>
      <c r="AE91" s="9" t="str">
        <f t="shared" ca="1" si="110"/>
        <v>EXPIRED</v>
      </c>
      <c r="AF91" s="66"/>
      <c r="AG91" s="9" t="str">
        <f t="shared" ca="1" si="131"/>
        <v>EXPIRED</v>
      </c>
      <c r="AH91" s="9" t="str">
        <f t="shared" ca="1" si="132"/>
        <v>--</v>
      </c>
      <c r="AI91" s="9" t="str">
        <f t="shared" ca="1" si="133"/>
        <v>EXPIRED</v>
      </c>
      <c r="AJ91" s="9" t="str">
        <f t="shared" ca="1" si="134"/>
        <v>--</v>
      </c>
      <c r="AK91" s="9" t="str">
        <f t="shared" ca="1" si="135"/>
        <v>EXPIRED</v>
      </c>
      <c r="AL91" s="9" t="str">
        <f t="shared" ca="1" si="136"/>
        <v>--</v>
      </c>
      <c r="AM91" s="9" t="str">
        <f t="shared" ca="1" si="111"/>
        <v>EXPIRED</v>
      </c>
      <c r="AN91" s="66"/>
      <c r="AO91" s="9" t="str">
        <f t="shared" ca="1" si="137"/>
        <v>EXPIRED</v>
      </c>
      <c r="AP91" s="9" t="str">
        <f t="shared" ca="1" si="138"/>
        <v>--</v>
      </c>
      <c r="AQ91" s="9" t="str">
        <f t="shared" ca="1" si="139"/>
        <v>EXPIRED</v>
      </c>
      <c r="AR91" s="9" t="str">
        <f t="shared" ca="1" si="140"/>
        <v>--</v>
      </c>
      <c r="AS91" s="9" t="str">
        <f t="shared" ca="1" si="141"/>
        <v>EXPIRED</v>
      </c>
      <c r="AT91" s="9" t="str">
        <f t="shared" ca="1" si="142"/>
        <v>--</v>
      </c>
      <c r="AU91" s="9" t="str">
        <f t="shared" ca="1" si="112"/>
        <v>EXPIRED</v>
      </c>
      <c r="AV91" s="66"/>
      <c r="AW91" s="9" t="str">
        <f t="shared" ca="1" si="143"/>
        <v>EXPIRED</v>
      </c>
      <c r="AX91" s="9" t="str">
        <f t="shared" ca="1" si="144"/>
        <v>--</v>
      </c>
      <c r="AY91" s="9" t="str">
        <f t="shared" ca="1" si="145"/>
        <v>EXPIRED</v>
      </c>
      <c r="AZ91" s="9" t="str">
        <f t="shared" ca="1" si="146"/>
        <v>--</v>
      </c>
      <c r="BA91" s="9" t="str">
        <f t="shared" ca="1" si="147"/>
        <v>EXPIRED</v>
      </c>
      <c r="BB91" s="9" t="str">
        <f t="shared" ca="1" si="148"/>
        <v>--</v>
      </c>
      <c r="BC91" s="9" t="str">
        <f t="shared" ca="1" si="113"/>
        <v>EXPIRED</v>
      </c>
      <c r="BD91" s="66"/>
    </row>
    <row r="92" spans="1:56" x14ac:dyDescent="0.25">
      <c r="A92" s="14">
        <f t="shared" si="114"/>
        <v>81</v>
      </c>
      <c r="B92" s="14">
        <f t="shared" si="114"/>
        <v>121</v>
      </c>
      <c r="C92" s="38">
        <f t="shared" si="109"/>
        <v>4.9729479392183151</v>
      </c>
      <c r="D92" s="66"/>
      <c r="E92" s="32" t="str">
        <f t="shared" ca="1" si="115"/>
        <v>EXPIRED</v>
      </c>
      <c r="F92" s="32" t="str">
        <f t="shared" ca="1" si="116"/>
        <v>--</v>
      </c>
      <c r="G92" s="32" t="str">
        <f t="shared" ca="1" si="117"/>
        <v>EXPIRED</v>
      </c>
      <c r="H92" s="32" t="str">
        <f ca="1">IF(Message&lt;&gt;"","--",I92*(1-IF(OR(Income!P91="NA",Income!P91=0),0.2,Income!P91)))</f>
        <v>--</v>
      </c>
      <c r="I92" s="32" t="str">
        <f t="shared" ca="1" si="118"/>
        <v>EXPIRED</v>
      </c>
      <c r="J92" s="66"/>
      <c r="K92" s="74" t="str">
        <f ca="1">IF(Message&lt;&gt;"",Message,Income!M91+Dashboard!I144+Dashboard!K144-Taxes!BR97)</f>
        <v>EXPIRED</v>
      </c>
      <c r="L92" s="74" t="str">
        <f t="shared" ca="1" si="119"/>
        <v>EXPIRED</v>
      </c>
      <c r="M92" s="5" t="str">
        <f t="shared" ca="1" si="120"/>
        <v>EXPIRED</v>
      </c>
      <c r="N92" s="5" t="str">
        <f ca="1">IF(Message&lt;&gt;"",Message,MAX(MIN(Target401K*C92,SUM(Income!D91:J91),W92+K92),-I91)+IF(W92+K92&lt;0,-M92,0))</f>
        <v>EXPIRED</v>
      </c>
      <c r="O92" s="66"/>
      <c r="P92" s="71" t="str">
        <f t="shared" ca="1" si="121"/>
        <v>EXPIRED</v>
      </c>
      <c r="Q92" s="71" t="str">
        <f t="shared" ca="1" si="122"/>
        <v>EXPIRED</v>
      </c>
      <c r="R92" s="66"/>
      <c r="S92" s="9" t="str">
        <f t="shared" ca="1" si="123"/>
        <v>EXPIRED</v>
      </c>
      <c r="T92" s="9" t="str">
        <f t="shared" ca="1" si="149"/>
        <v>EXPIRED</v>
      </c>
      <c r="U92" s="9">
        <f ca="1">+Taxes!L97</f>
        <v>0</v>
      </c>
      <c r="V92" s="9" t="str">
        <f t="shared" ca="1" si="124"/>
        <v>EXPIRED</v>
      </c>
      <c r="W92" s="9" t="e">
        <f t="shared" ca="1" si="150"/>
        <v>#VALUE!</v>
      </c>
      <c r="X92" s="66"/>
      <c r="Y92" s="9" t="str">
        <f t="shared" ca="1" si="125"/>
        <v>EXPIRED</v>
      </c>
      <c r="Z92" s="9" t="str">
        <f t="shared" ca="1" si="126"/>
        <v>--</v>
      </c>
      <c r="AA92" s="9" t="str">
        <f t="shared" ca="1" si="127"/>
        <v>EXPIRED</v>
      </c>
      <c r="AB92" s="9" t="str">
        <f t="shared" ca="1" si="128"/>
        <v>--</v>
      </c>
      <c r="AC92" s="9" t="str">
        <f t="shared" ca="1" si="129"/>
        <v>EXPIRED</v>
      </c>
      <c r="AD92" s="9" t="str">
        <f t="shared" ca="1" si="130"/>
        <v>--</v>
      </c>
      <c r="AE92" s="9" t="str">
        <f t="shared" ca="1" si="110"/>
        <v>EXPIRED</v>
      </c>
      <c r="AF92" s="66"/>
      <c r="AG92" s="9" t="str">
        <f t="shared" ca="1" si="131"/>
        <v>EXPIRED</v>
      </c>
      <c r="AH92" s="9" t="str">
        <f t="shared" ca="1" si="132"/>
        <v>--</v>
      </c>
      <c r="AI92" s="9" t="str">
        <f t="shared" ca="1" si="133"/>
        <v>EXPIRED</v>
      </c>
      <c r="AJ92" s="9" t="str">
        <f t="shared" ca="1" si="134"/>
        <v>--</v>
      </c>
      <c r="AK92" s="9" t="str">
        <f t="shared" ca="1" si="135"/>
        <v>EXPIRED</v>
      </c>
      <c r="AL92" s="9" t="str">
        <f t="shared" ca="1" si="136"/>
        <v>--</v>
      </c>
      <c r="AM92" s="9" t="str">
        <f t="shared" ca="1" si="111"/>
        <v>EXPIRED</v>
      </c>
      <c r="AN92" s="66"/>
      <c r="AO92" s="9" t="str">
        <f t="shared" ca="1" si="137"/>
        <v>EXPIRED</v>
      </c>
      <c r="AP92" s="9" t="str">
        <f t="shared" ca="1" si="138"/>
        <v>--</v>
      </c>
      <c r="AQ92" s="9" t="str">
        <f t="shared" ca="1" si="139"/>
        <v>EXPIRED</v>
      </c>
      <c r="AR92" s="9" t="str">
        <f t="shared" ca="1" si="140"/>
        <v>--</v>
      </c>
      <c r="AS92" s="9" t="str">
        <f t="shared" ca="1" si="141"/>
        <v>EXPIRED</v>
      </c>
      <c r="AT92" s="9" t="str">
        <f t="shared" ca="1" si="142"/>
        <v>--</v>
      </c>
      <c r="AU92" s="9" t="str">
        <f t="shared" ca="1" si="112"/>
        <v>EXPIRED</v>
      </c>
      <c r="AV92" s="66"/>
      <c r="AW92" s="9" t="str">
        <f t="shared" ca="1" si="143"/>
        <v>EXPIRED</v>
      </c>
      <c r="AX92" s="9" t="str">
        <f t="shared" ca="1" si="144"/>
        <v>--</v>
      </c>
      <c r="AY92" s="9" t="str">
        <f t="shared" ca="1" si="145"/>
        <v>EXPIRED</v>
      </c>
      <c r="AZ92" s="9" t="str">
        <f t="shared" ca="1" si="146"/>
        <v>--</v>
      </c>
      <c r="BA92" s="9" t="str">
        <f t="shared" ca="1" si="147"/>
        <v>EXPIRED</v>
      </c>
      <c r="BB92" s="9" t="str">
        <f t="shared" ca="1" si="148"/>
        <v>--</v>
      </c>
      <c r="BC92" s="9" t="str">
        <f t="shared" ca="1" si="113"/>
        <v>EXPIRED</v>
      </c>
      <c r="BD92" s="66"/>
    </row>
    <row r="93" spans="1:56" x14ac:dyDescent="0.25">
      <c r="A93" s="14">
        <f t="shared" ref="A93:B108" si="151">+A92+1</f>
        <v>82</v>
      </c>
      <c r="B93" s="14">
        <f t="shared" si="151"/>
        <v>122</v>
      </c>
      <c r="C93" s="38">
        <f t="shared" si="109"/>
        <v>5.0724068980026811</v>
      </c>
      <c r="D93" s="66"/>
      <c r="E93" s="32" t="str">
        <f t="shared" ca="1" si="115"/>
        <v>EXPIRED</v>
      </c>
      <c r="F93" s="32" t="str">
        <f t="shared" ca="1" si="116"/>
        <v>--</v>
      </c>
      <c r="G93" s="32" t="str">
        <f t="shared" ca="1" si="117"/>
        <v>EXPIRED</v>
      </c>
      <c r="H93" s="32" t="str">
        <f ca="1">IF(Message&lt;&gt;"","--",I93*(1-IF(OR(Income!P92="NA",Income!P92=0),0.2,Income!P92)))</f>
        <v>--</v>
      </c>
      <c r="I93" s="32" t="str">
        <f t="shared" ca="1" si="118"/>
        <v>EXPIRED</v>
      </c>
      <c r="J93" s="66"/>
      <c r="K93" s="74" t="str">
        <f ca="1">IF(Message&lt;&gt;"",Message,Income!M92+Dashboard!I145+Dashboard!K145-Taxes!BR98)</f>
        <v>EXPIRED</v>
      </c>
      <c r="L93" s="74" t="str">
        <f t="shared" ca="1" si="119"/>
        <v>EXPIRED</v>
      </c>
      <c r="M93" s="5" t="str">
        <f t="shared" ca="1" si="120"/>
        <v>EXPIRED</v>
      </c>
      <c r="N93" s="5" t="str">
        <f ca="1">IF(Message&lt;&gt;"",Message,MAX(MIN(Target401K*C93,SUM(Income!D92:J92),W93+K93),-I92)+IF(W93+K93&lt;0,-M93,0))</f>
        <v>EXPIRED</v>
      </c>
      <c r="O93" s="66"/>
      <c r="P93" s="71" t="str">
        <f t="shared" ca="1" si="121"/>
        <v>EXPIRED</v>
      </c>
      <c r="Q93" s="71" t="str">
        <f t="shared" ca="1" si="122"/>
        <v>EXPIRED</v>
      </c>
      <c r="R93" s="66"/>
      <c r="S93" s="9" t="str">
        <f t="shared" ca="1" si="123"/>
        <v>EXPIRED</v>
      </c>
      <c r="T93" s="9" t="str">
        <f t="shared" ca="1" si="149"/>
        <v>EXPIRED</v>
      </c>
      <c r="U93" s="9">
        <f ca="1">+Taxes!L98</f>
        <v>0</v>
      </c>
      <c r="V93" s="9" t="str">
        <f t="shared" ca="1" si="124"/>
        <v>EXPIRED</v>
      </c>
      <c r="W93" s="9" t="e">
        <f t="shared" ca="1" si="150"/>
        <v>#VALUE!</v>
      </c>
      <c r="X93" s="66"/>
      <c r="Y93" s="9" t="str">
        <f t="shared" ca="1" si="125"/>
        <v>EXPIRED</v>
      </c>
      <c r="Z93" s="9" t="str">
        <f t="shared" ca="1" si="126"/>
        <v>--</v>
      </c>
      <c r="AA93" s="9" t="str">
        <f t="shared" ca="1" si="127"/>
        <v>EXPIRED</v>
      </c>
      <c r="AB93" s="9" t="str">
        <f t="shared" ca="1" si="128"/>
        <v>--</v>
      </c>
      <c r="AC93" s="9" t="str">
        <f t="shared" ca="1" si="129"/>
        <v>EXPIRED</v>
      </c>
      <c r="AD93" s="9" t="str">
        <f t="shared" ca="1" si="130"/>
        <v>--</v>
      </c>
      <c r="AE93" s="9" t="str">
        <f t="shared" ca="1" si="110"/>
        <v>EXPIRED</v>
      </c>
      <c r="AF93" s="66"/>
      <c r="AG93" s="9" t="str">
        <f t="shared" ca="1" si="131"/>
        <v>EXPIRED</v>
      </c>
      <c r="AH93" s="9" t="str">
        <f t="shared" ca="1" si="132"/>
        <v>--</v>
      </c>
      <c r="AI93" s="9" t="str">
        <f t="shared" ca="1" si="133"/>
        <v>EXPIRED</v>
      </c>
      <c r="AJ93" s="9" t="str">
        <f t="shared" ca="1" si="134"/>
        <v>--</v>
      </c>
      <c r="AK93" s="9" t="str">
        <f t="shared" ca="1" si="135"/>
        <v>EXPIRED</v>
      </c>
      <c r="AL93" s="9" t="str">
        <f t="shared" ca="1" si="136"/>
        <v>--</v>
      </c>
      <c r="AM93" s="9" t="str">
        <f t="shared" ca="1" si="111"/>
        <v>EXPIRED</v>
      </c>
      <c r="AN93" s="66"/>
      <c r="AO93" s="9" t="str">
        <f t="shared" ca="1" si="137"/>
        <v>EXPIRED</v>
      </c>
      <c r="AP93" s="9" t="str">
        <f t="shared" ca="1" si="138"/>
        <v>--</v>
      </c>
      <c r="AQ93" s="9" t="str">
        <f t="shared" ca="1" si="139"/>
        <v>EXPIRED</v>
      </c>
      <c r="AR93" s="9" t="str">
        <f t="shared" ca="1" si="140"/>
        <v>--</v>
      </c>
      <c r="AS93" s="9" t="str">
        <f t="shared" ca="1" si="141"/>
        <v>EXPIRED</v>
      </c>
      <c r="AT93" s="9" t="str">
        <f t="shared" ca="1" si="142"/>
        <v>--</v>
      </c>
      <c r="AU93" s="9" t="str">
        <f t="shared" ca="1" si="112"/>
        <v>EXPIRED</v>
      </c>
      <c r="AV93" s="66"/>
      <c r="AW93" s="9" t="str">
        <f t="shared" ca="1" si="143"/>
        <v>EXPIRED</v>
      </c>
      <c r="AX93" s="9" t="str">
        <f t="shared" ca="1" si="144"/>
        <v>--</v>
      </c>
      <c r="AY93" s="9" t="str">
        <f t="shared" ca="1" si="145"/>
        <v>EXPIRED</v>
      </c>
      <c r="AZ93" s="9" t="str">
        <f t="shared" ca="1" si="146"/>
        <v>--</v>
      </c>
      <c r="BA93" s="9" t="str">
        <f t="shared" ca="1" si="147"/>
        <v>EXPIRED</v>
      </c>
      <c r="BB93" s="9" t="str">
        <f t="shared" ca="1" si="148"/>
        <v>--</v>
      </c>
      <c r="BC93" s="9" t="str">
        <f t="shared" ca="1" si="113"/>
        <v>EXPIRED</v>
      </c>
      <c r="BD93" s="66"/>
    </row>
    <row r="94" spans="1:56" x14ac:dyDescent="0.25">
      <c r="A94" s="14">
        <f t="shared" si="151"/>
        <v>83</v>
      </c>
      <c r="B94" s="14">
        <f t="shared" si="151"/>
        <v>123</v>
      </c>
      <c r="C94" s="38">
        <f t="shared" si="109"/>
        <v>5.1738550359627347</v>
      </c>
      <c r="D94" s="66"/>
      <c r="E94" s="32" t="str">
        <f t="shared" ca="1" si="115"/>
        <v>EXPIRED</v>
      </c>
      <c r="F94" s="32" t="str">
        <f t="shared" ca="1" si="116"/>
        <v>--</v>
      </c>
      <c r="G94" s="32" t="str">
        <f t="shared" ca="1" si="117"/>
        <v>EXPIRED</v>
      </c>
      <c r="H94" s="32" t="str">
        <f ca="1">IF(Message&lt;&gt;"","--",I94*(1-IF(OR(Income!P93="NA",Income!P93=0),0.2,Income!P93)))</f>
        <v>--</v>
      </c>
      <c r="I94" s="32" t="str">
        <f t="shared" ca="1" si="118"/>
        <v>EXPIRED</v>
      </c>
      <c r="J94" s="66"/>
      <c r="K94" s="74" t="str">
        <f ca="1">IF(Message&lt;&gt;"",Message,Income!M93+Dashboard!I146+Dashboard!K146-Taxes!BR99)</f>
        <v>EXPIRED</v>
      </c>
      <c r="L94" s="74" t="str">
        <f t="shared" ca="1" si="119"/>
        <v>EXPIRED</v>
      </c>
      <c r="M94" s="5" t="str">
        <f t="shared" ca="1" si="120"/>
        <v>EXPIRED</v>
      </c>
      <c r="N94" s="5" t="str">
        <f ca="1">IF(Message&lt;&gt;"",Message,MAX(MIN(Target401K*C94,SUM(Income!D93:J93),W94+K94),-I93)+IF(W94+K94&lt;0,-M94,0))</f>
        <v>EXPIRED</v>
      </c>
      <c r="O94" s="66"/>
      <c r="P94" s="71" t="str">
        <f t="shared" ca="1" si="121"/>
        <v>EXPIRED</v>
      </c>
      <c r="Q94" s="71" t="str">
        <f t="shared" ca="1" si="122"/>
        <v>EXPIRED</v>
      </c>
      <c r="R94" s="66"/>
      <c r="S94" s="9" t="str">
        <f t="shared" ca="1" si="123"/>
        <v>EXPIRED</v>
      </c>
      <c r="T94" s="9" t="str">
        <f t="shared" ca="1" si="149"/>
        <v>EXPIRED</v>
      </c>
      <c r="U94" s="9">
        <f ca="1">+Taxes!L99</f>
        <v>0</v>
      </c>
      <c r="V94" s="9" t="str">
        <f t="shared" ca="1" si="124"/>
        <v>EXPIRED</v>
      </c>
      <c r="W94" s="9" t="e">
        <f t="shared" ca="1" si="150"/>
        <v>#VALUE!</v>
      </c>
      <c r="X94" s="66"/>
      <c r="Y94" s="9" t="str">
        <f t="shared" ca="1" si="125"/>
        <v>EXPIRED</v>
      </c>
      <c r="Z94" s="9" t="str">
        <f t="shared" ca="1" si="126"/>
        <v>--</v>
      </c>
      <c r="AA94" s="9" t="str">
        <f t="shared" ca="1" si="127"/>
        <v>EXPIRED</v>
      </c>
      <c r="AB94" s="9" t="str">
        <f t="shared" ca="1" si="128"/>
        <v>--</v>
      </c>
      <c r="AC94" s="9" t="str">
        <f t="shared" ca="1" si="129"/>
        <v>EXPIRED</v>
      </c>
      <c r="AD94" s="9" t="str">
        <f t="shared" ca="1" si="130"/>
        <v>--</v>
      </c>
      <c r="AE94" s="9" t="str">
        <f t="shared" ca="1" si="110"/>
        <v>EXPIRED</v>
      </c>
      <c r="AF94" s="66"/>
      <c r="AG94" s="9" t="str">
        <f t="shared" ca="1" si="131"/>
        <v>EXPIRED</v>
      </c>
      <c r="AH94" s="9" t="str">
        <f t="shared" ca="1" si="132"/>
        <v>--</v>
      </c>
      <c r="AI94" s="9" t="str">
        <f t="shared" ca="1" si="133"/>
        <v>EXPIRED</v>
      </c>
      <c r="AJ94" s="9" t="str">
        <f t="shared" ca="1" si="134"/>
        <v>--</v>
      </c>
      <c r="AK94" s="9" t="str">
        <f t="shared" ca="1" si="135"/>
        <v>EXPIRED</v>
      </c>
      <c r="AL94" s="9" t="str">
        <f t="shared" ca="1" si="136"/>
        <v>--</v>
      </c>
      <c r="AM94" s="9" t="str">
        <f t="shared" ca="1" si="111"/>
        <v>EXPIRED</v>
      </c>
      <c r="AN94" s="66"/>
      <c r="AO94" s="9" t="str">
        <f t="shared" ca="1" si="137"/>
        <v>EXPIRED</v>
      </c>
      <c r="AP94" s="9" t="str">
        <f t="shared" ca="1" si="138"/>
        <v>--</v>
      </c>
      <c r="AQ94" s="9" t="str">
        <f t="shared" ca="1" si="139"/>
        <v>EXPIRED</v>
      </c>
      <c r="AR94" s="9" t="str">
        <f t="shared" ca="1" si="140"/>
        <v>--</v>
      </c>
      <c r="AS94" s="9" t="str">
        <f t="shared" ca="1" si="141"/>
        <v>EXPIRED</v>
      </c>
      <c r="AT94" s="9" t="str">
        <f t="shared" ca="1" si="142"/>
        <v>--</v>
      </c>
      <c r="AU94" s="9" t="str">
        <f t="shared" ca="1" si="112"/>
        <v>EXPIRED</v>
      </c>
      <c r="AV94" s="66"/>
      <c r="AW94" s="9" t="str">
        <f t="shared" ca="1" si="143"/>
        <v>EXPIRED</v>
      </c>
      <c r="AX94" s="9" t="str">
        <f t="shared" ca="1" si="144"/>
        <v>--</v>
      </c>
      <c r="AY94" s="9" t="str">
        <f t="shared" ca="1" si="145"/>
        <v>EXPIRED</v>
      </c>
      <c r="AZ94" s="9" t="str">
        <f t="shared" ca="1" si="146"/>
        <v>--</v>
      </c>
      <c r="BA94" s="9" t="str">
        <f t="shared" ca="1" si="147"/>
        <v>EXPIRED</v>
      </c>
      <c r="BB94" s="9" t="str">
        <f t="shared" ca="1" si="148"/>
        <v>--</v>
      </c>
      <c r="BC94" s="9" t="str">
        <f t="shared" ca="1" si="113"/>
        <v>EXPIRED</v>
      </c>
      <c r="BD94" s="66"/>
    </row>
    <row r="95" spans="1:56" x14ac:dyDescent="0.25">
      <c r="A95" s="14">
        <f t="shared" si="151"/>
        <v>84</v>
      </c>
      <c r="B95" s="14">
        <f t="shared" si="151"/>
        <v>124</v>
      </c>
      <c r="C95" s="38">
        <f t="shared" si="109"/>
        <v>5.2773321366819896</v>
      </c>
      <c r="D95" s="66"/>
      <c r="E95" s="32" t="str">
        <f t="shared" ca="1" si="115"/>
        <v>EXPIRED</v>
      </c>
      <c r="F95" s="32" t="str">
        <f t="shared" ca="1" si="116"/>
        <v>--</v>
      </c>
      <c r="G95" s="32" t="str">
        <f t="shared" ca="1" si="117"/>
        <v>EXPIRED</v>
      </c>
      <c r="H95" s="32" t="str">
        <f ca="1">IF(Message&lt;&gt;"","--",I95*(1-IF(OR(Income!P94="NA",Income!P94=0),0.2,Income!P94)))</f>
        <v>--</v>
      </c>
      <c r="I95" s="32" t="str">
        <f t="shared" ca="1" si="118"/>
        <v>EXPIRED</v>
      </c>
      <c r="J95" s="66"/>
      <c r="K95" s="74" t="str">
        <f ca="1">IF(Message&lt;&gt;"",Message,Income!M94+Dashboard!I147+Dashboard!K147-Taxes!BR100)</f>
        <v>EXPIRED</v>
      </c>
      <c r="L95" s="74" t="str">
        <f t="shared" ca="1" si="119"/>
        <v>EXPIRED</v>
      </c>
      <c r="M95" s="5" t="str">
        <f t="shared" ca="1" si="120"/>
        <v>EXPIRED</v>
      </c>
      <c r="N95" s="5" t="str">
        <f ca="1">IF(Message&lt;&gt;"",Message,MAX(MIN(Target401K*C95,SUM(Income!D94:J94),W95+K95),-I94)+IF(W95+K95&lt;0,-M95,0))</f>
        <v>EXPIRED</v>
      </c>
      <c r="O95" s="66"/>
      <c r="P95" s="71" t="str">
        <f t="shared" ca="1" si="121"/>
        <v>EXPIRED</v>
      </c>
      <c r="Q95" s="71" t="str">
        <f t="shared" ca="1" si="122"/>
        <v>EXPIRED</v>
      </c>
      <c r="R95" s="66"/>
      <c r="S95" s="9" t="str">
        <f t="shared" ca="1" si="123"/>
        <v>EXPIRED</v>
      </c>
      <c r="T95" s="9" t="str">
        <f t="shared" ca="1" si="149"/>
        <v>EXPIRED</v>
      </c>
      <c r="U95" s="9">
        <f ca="1">+Taxes!L100</f>
        <v>0</v>
      </c>
      <c r="V95" s="9" t="str">
        <f t="shared" ca="1" si="124"/>
        <v>EXPIRED</v>
      </c>
      <c r="W95" s="9" t="e">
        <f t="shared" ca="1" si="150"/>
        <v>#VALUE!</v>
      </c>
      <c r="X95" s="66"/>
      <c r="Y95" s="9" t="str">
        <f t="shared" ca="1" si="125"/>
        <v>EXPIRED</v>
      </c>
      <c r="Z95" s="9" t="str">
        <f t="shared" ca="1" si="126"/>
        <v>--</v>
      </c>
      <c r="AA95" s="9" t="str">
        <f t="shared" ca="1" si="127"/>
        <v>EXPIRED</v>
      </c>
      <c r="AB95" s="9" t="str">
        <f t="shared" ca="1" si="128"/>
        <v>--</v>
      </c>
      <c r="AC95" s="9" t="str">
        <f t="shared" ca="1" si="129"/>
        <v>EXPIRED</v>
      </c>
      <c r="AD95" s="9" t="str">
        <f t="shared" ca="1" si="130"/>
        <v>--</v>
      </c>
      <c r="AE95" s="9" t="str">
        <f t="shared" ca="1" si="110"/>
        <v>EXPIRED</v>
      </c>
      <c r="AF95" s="66"/>
      <c r="AG95" s="9" t="str">
        <f t="shared" ca="1" si="131"/>
        <v>EXPIRED</v>
      </c>
      <c r="AH95" s="9" t="str">
        <f t="shared" ca="1" si="132"/>
        <v>--</v>
      </c>
      <c r="AI95" s="9" t="str">
        <f t="shared" ca="1" si="133"/>
        <v>EXPIRED</v>
      </c>
      <c r="AJ95" s="9" t="str">
        <f t="shared" ca="1" si="134"/>
        <v>--</v>
      </c>
      <c r="AK95" s="9" t="str">
        <f t="shared" ca="1" si="135"/>
        <v>EXPIRED</v>
      </c>
      <c r="AL95" s="9" t="str">
        <f t="shared" ca="1" si="136"/>
        <v>--</v>
      </c>
      <c r="AM95" s="9" t="str">
        <f t="shared" ca="1" si="111"/>
        <v>EXPIRED</v>
      </c>
      <c r="AN95" s="66"/>
      <c r="AO95" s="9" t="str">
        <f t="shared" ca="1" si="137"/>
        <v>EXPIRED</v>
      </c>
      <c r="AP95" s="9" t="str">
        <f t="shared" ca="1" si="138"/>
        <v>--</v>
      </c>
      <c r="AQ95" s="9" t="str">
        <f t="shared" ca="1" si="139"/>
        <v>EXPIRED</v>
      </c>
      <c r="AR95" s="9" t="str">
        <f t="shared" ca="1" si="140"/>
        <v>--</v>
      </c>
      <c r="AS95" s="9" t="str">
        <f t="shared" ca="1" si="141"/>
        <v>EXPIRED</v>
      </c>
      <c r="AT95" s="9" t="str">
        <f t="shared" ca="1" si="142"/>
        <v>--</v>
      </c>
      <c r="AU95" s="9" t="str">
        <f t="shared" ca="1" si="112"/>
        <v>EXPIRED</v>
      </c>
      <c r="AV95" s="66"/>
      <c r="AW95" s="9" t="str">
        <f t="shared" ca="1" si="143"/>
        <v>EXPIRED</v>
      </c>
      <c r="AX95" s="9" t="str">
        <f t="shared" ca="1" si="144"/>
        <v>--</v>
      </c>
      <c r="AY95" s="9" t="str">
        <f t="shared" ca="1" si="145"/>
        <v>EXPIRED</v>
      </c>
      <c r="AZ95" s="9" t="str">
        <f t="shared" ca="1" si="146"/>
        <v>--</v>
      </c>
      <c r="BA95" s="9" t="str">
        <f t="shared" ca="1" si="147"/>
        <v>EXPIRED</v>
      </c>
      <c r="BB95" s="9" t="str">
        <f t="shared" ca="1" si="148"/>
        <v>--</v>
      </c>
      <c r="BC95" s="9" t="str">
        <f t="shared" ca="1" si="113"/>
        <v>EXPIRED</v>
      </c>
      <c r="BD95" s="66"/>
    </row>
    <row r="96" spans="1:56" x14ac:dyDescent="0.25">
      <c r="A96" s="14">
        <f t="shared" si="151"/>
        <v>85</v>
      </c>
      <c r="B96" s="14">
        <f t="shared" si="151"/>
        <v>125</v>
      </c>
      <c r="C96" s="38">
        <f t="shared" si="109"/>
        <v>5.3828787794156296</v>
      </c>
      <c r="D96" s="66"/>
      <c r="E96" s="32" t="str">
        <f t="shared" ca="1" si="115"/>
        <v>EXPIRED</v>
      </c>
      <c r="F96" s="32" t="str">
        <f t="shared" ca="1" si="116"/>
        <v>--</v>
      </c>
      <c r="G96" s="32" t="str">
        <f t="shared" ca="1" si="117"/>
        <v>EXPIRED</v>
      </c>
      <c r="H96" s="32" t="str">
        <f ca="1">IF(Message&lt;&gt;"","--",I96*(1-IF(OR(Income!P95="NA",Income!P95=0),0.2,Income!P95)))</f>
        <v>--</v>
      </c>
      <c r="I96" s="32" t="str">
        <f t="shared" ca="1" si="118"/>
        <v>EXPIRED</v>
      </c>
      <c r="J96" s="66"/>
      <c r="K96" s="74" t="str">
        <f ca="1">IF(Message&lt;&gt;"",Message,Income!M95+Dashboard!I148+Dashboard!K148-Taxes!BR101)</f>
        <v>EXPIRED</v>
      </c>
      <c r="L96" s="74" t="str">
        <f t="shared" ca="1" si="119"/>
        <v>EXPIRED</v>
      </c>
      <c r="M96" s="5" t="str">
        <f t="shared" ca="1" si="120"/>
        <v>EXPIRED</v>
      </c>
      <c r="N96" s="5" t="str">
        <f ca="1">IF(Message&lt;&gt;"",Message,MAX(MIN(Target401K*C96,SUM(Income!D95:J95),W96+K96),-I95)+IF(W96+K96&lt;0,-M96,0))</f>
        <v>EXPIRED</v>
      </c>
      <c r="O96" s="66"/>
      <c r="P96" s="71" t="str">
        <f t="shared" ca="1" si="121"/>
        <v>EXPIRED</v>
      </c>
      <c r="Q96" s="71" t="str">
        <f t="shared" ca="1" si="122"/>
        <v>EXPIRED</v>
      </c>
      <c r="R96" s="66"/>
      <c r="S96" s="9" t="str">
        <f t="shared" ca="1" si="123"/>
        <v>EXPIRED</v>
      </c>
      <c r="T96" s="9" t="str">
        <f t="shared" ca="1" si="149"/>
        <v>EXPIRED</v>
      </c>
      <c r="U96" s="9">
        <f ca="1">+Taxes!L101</f>
        <v>0</v>
      </c>
      <c r="V96" s="9" t="str">
        <f t="shared" ca="1" si="124"/>
        <v>EXPIRED</v>
      </c>
      <c r="W96" s="9" t="e">
        <f t="shared" ca="1" si="150"/>
        <v>#VALUE!</v>
      </c>
      <c r="X96" s="66"/>
      <c r="Y96" s="9" t="str">
        <f t="shared" ca="1" si="125"/>
        <v>EXPIRED</v>
      </c>
      <c r="Z96" s="9" t="str">
        <f t="shared" ca="1" si="126"/>
        <v>--</v>
      </c>
      <c r="AA96" s="9" t="str">
        <f t="shared" ca="1" si="127"/>
        <v>EXPIRED</v>
      </c>
      <c r="AB96" s="9" t="str">
        <f t="shared" ca="1" si="128"/>
        <v>--</v>
      </c>
      <c r="AC96" s="9" t="str">
        <f t="shared" ca="1" si="129"/>
        <v>EXPIRED</v>
      </c>
      <c r="AD96" s="9" t="str">
        <f t="shared" ca="1" si="130"/>
        <v>--</v>
      </c>
      <c r="AE96" s="9" t="str">
        <f t="shared" ca="1" si="110"/>
        <v>EXPIRED</v>
      </c>
      <c r="AF96" s="66"/>
      <c r="AG96" s="9" t="str">
        <f t="shared" ca="1" si="131"/>
        <v>EXPIRED</v>
      </c>
      <c r="AH96" s="9" t="str">
        <f t="shared" ca="1" si="132"/>
        <v>--</v>
      </c>
      <c r="AI96" s="9" t="str">
        <f t="shared" ca="1" si="133"/>
        <v>EXPIRED</v>
      </c>
      <c r="AJ96" s="9" t="str">
        <f t="shared" ca="1" si="134"/>
        <v>--</v>
      </c>
      <c r="AK96" s="9" t="str">
        <f t="shared" ca="1" si="135"/>
        <v>EXPIRED</v>
      </c>
      <c r="AL96" s="9" t="str">
        <f t="shared" ca="1" si="136"/>
        <v>--</v>
      </c>
      <c r="AM96" s="9" t="str">
        <f t="shared" ca="1" si="111"/>
        <v>EXPIRED</v>
      </c>
      <c r="AN96" s="66"/>
      <c r="AO96" s="9" t="str">
        <f t="shared" ca="1" si="137"/>
        <v>EXPIRED</v>
      </c>
      <c r="AP96" s="9" t="str">
        <f t="shared" ca="1" si="138"/>
        <v>--</v>
      </c>
      <c r="AQ96" s="9" t="str">
        <f t="shared" ca="1" si="139"/>
        <v>EXPIRED</v>
      </c>
      <c r="AR96" s="9" t="str">
        <f t="shared" ca="1" si="140"/>
        <v>--</v>
      </c>
      <c r="AS96" s="9" t="str">
        <f t="shared" ca="1" si="141"/>
        <v>EXPIRED</v>
      </c>
      <c r="AT96" s="9" t="str">
        <f t="shared" ca="1" si="142"/>
        <v>--</v>
      </c>
      <c r="AU96" s="9" t="str">
        <f t="shared" ca="1" si="112"/>
        <v>EXPIRED</v>
      </c>
      <c r="AV96" s="66"/>
      <c r="AW96" s="9" t="str">
        <f t="shared" ca="1" si="143"/>
        <v>EXPIRED</v>
      </c>
      <c r="AX96" s="9" t="str">
        <f t="shared" ca="1" si="144"/>
        <v>--</v>
      </c>
      <c r="AY96" s="9" t="str">
        <f t="shared" ca="1" si="145"/>
        <v>EXPIRED</v>
      </c>
      <c r="AZ96" s="9" t="str">
        <f t="shared" ca="1" si="146"/>
        <v>--</v>
      </c>
      <c r="BA96" s="9" t="str">
        <f t="shared" ca="1" si="147"/>
        <v>EXPIRED</v>
      </c>
      <c r="BB96" s="9" t="str">
        <f t="shared" ca="1" si="148"/>
        <v>--</v>
      </c>
      <c r="BC96" s="9" t="str">
        <f t="shared" ca="1" si="113"/>
        <v>EXPIRED</v>
      </c>
      <c r="BD96" s="66"/>
    </row>
    <row r="97" spans="1:56" x14ac:dyDescent="0.25">
      <c r="A97" s="14">
        <f t="shared" si="151"/>
        <v>86</v>
      </c>
      <c r="B97" s="14">
        <f t="shared" si="151"/>
        <v>126</v>
      </c>
      <c r="C97" s="38">
        <f t="shared" si="109"/>
        <v>5.4905363550039423</v>
      </c>
      <c r="D97" s="66"/>
      <c r="E97" s="32" t="str">
        <f t="shared" ca="1" si="115"/>
        <v>EXPIRED</v>
      </c>
      <c r="F97" s="32" t="str">
        <f t="shared" ca="1" si="116"/>
        <v>--</v>
      </c>
      <c r="G97" s="32" t="str">
        <f t="shared" ca="1" si="117"/>
        <v>EXPIRED</v>
      </c>
      <c r="H97" s="32" t="str">
        <f ca="1">IF(Message&lt;&gt;"","--",I97*(1-IF(OR(Income!P96="NA",Income!P96=0),0.2,Income!P96)))</f>
        <v>--</v>
      </c>
      <c r="I97" s="32" t="str">
        <f t="shared" ca="1" si="118"/>
        <v>EXPIRED</v>
      </c>
      <c r="J97" s="66"/>
      <c r="K97" s="74" t="str">
        <f ca="1">IF(Message&lt;&gt;"",Message,Income!M96+Dashboard!I149+Dashboard!K149-Taxes!BR102)</f>
        <v>EXPIRED</v>
      </c>
      <c r="L97" s="74" t="str">
        <f t="shared" ca="1" si="119"/>
        <v>EXPIRED</v>
      </c>
      <c r="M97" s="5" t="str">
        <f t="shared" ca="1" si="120"/>
        <v>EXPIRED</v>
      </c>
      <c r="N97" s="5" t="str">
        <f ca="1">IF(Message&lt;&gt;"",Message,MAX(MIN(Target401K*C97,SUM(Income!D96:J96),W97+K97),-I96)+IF(W97+K97&lt;0,-M97,0))</f>
        <v>EXPIRED</v>
      </c>
      <c r="O97" s="66"/>
      <c r="P97" s="71" t="str">
        <f t="shared" ca="1" si="121"/>
        <v>EXPIRED</v>
      </c>
      <c r="Q97" s="71" t="str">
        <f t="shared" ca="1" si="122"/>
        <v>EXPIRED</v>
      </c>
      <c r="R97" s="66"/>
      <c r="S97" s="9" t="str">
        <f t="shared" ca="1" si="123"/>
        <v>EXPIRED</v>
      </c>
      <c r="T97" s="9" t="str">
        <f t="shared" ca="1" si="149"/>
        <v>EXPIRED</v>
      </c>
      <c r="U97" s="9">
        <f ca="1">+Taxes!L102</f>
        <v>0</v>
      </c>
      <c r="V97" s="9" t="str">
        <f t="shared" ca="1" si="124"/>
        <v>EXPIRED</v>
      </c>
      <c r="W97" s="9" t="e">
        <f t="shared" ca="1" si="150"/>
        <v>#VALUE!</v>
      </c>
      <c r="X97" s="66"/>
      <c r="Y97" s="9" t="str">
        <f t="shared" ca="1" si="125"/>
        <v>EXPIRED</v>
      </c>
      <c r="Z97" s="9" t="str">
        <f t="shared" ca="1" si="126"/>
        <v>--</v>
      </c>
      <c r="AA97" s="9" t="str">
        <f t="shared" ca="1" si="127"/>
        <v>EXPIRED</v>
      </c>
      <c r="AB97" s="9" t="str">
        <f t="shared" ca="1" si="128"/>
        <v>--</v>
      </c>
      <c r="AC97" s="9" t="str">
        <f t="shared" ca="1" si="129"/>
        <v>EXPIRED</v>
      </c>
      <c r="AD97" s="9" t="str">
        <f t="shared" ca="1" si="130"/>
        <v>--</v>
      </c>
      <c r="AE97" s="9" t="str">
        <f t="shared" ca="1" si="110"/>
        <v>EXPIRED</v>
      </c>
      <c r="AF97" s="66"/>
      <c r="AG97" s="9" t="str">
        <f t="shared" ca="1" si="131"/>
        <v>EXPIRED</v>
      </c>
      <c r="AH97" s="9" t="str">
        <f t="shared" ca="1" si="132"/>
        <v>--</v>
      </c>
      <c r="AI97" s="9" t="str">
        <f t="shared" ca="1" si="133"/>
        <v>EXPIRED</v>
      </c>
      <c r="AJ97" s="9" t="str">
        <f t="shared" ca="1" si="134"/>
        <v>--</v>
      </c>
      <c r="AK97" s="9" t="str">
        <f t="shared" ca="1" si="135"/>
        <v>EXPIRED</v>
      </c>
      <c r="AL97" s="9" t="str">
        <f t="shared" ca="1" si="136"/>
        <v>--</v>
      </c>
      <c r="AM97" s="9" t="str">
        <f t="shared" ca="1" si="111"/>
        <v>EXPIRED</v>
      </c>
      <c r="AN97" s="66"/>
      <c r="AO97" s="9" t="str">
        <f t="shared" ca="1" si="137"/>
        <v>EXPIRED</v>
      </c>
      <c r="AP97" s="9" t="str">
        <f t="shared" ca="1" si="138"/>
        <v>--</v>
      </c>
      <c r="AQ97" s="9" t="str">
        <f t="shared" ca="1" si="139"/>
        <v>EXPIRED</v>
      </c>
      <c r="AR97" s="9" t="str">
        <f t="shared" ca="1" si="140"/>
        <v>--</v>
      </c>
      <c r="AS97" s="9" t="str">
        <f t="shared" ca="1" si="141"/>
        <v>EXPIRED</v>
      </c>
      <c r="AT97" s="9" t="str">
        <f t="shared" ca="1" si="142"/>
        <v>--</v>
      </c>
      <c r="AU97" s="9" t="str">
        <f t="shared" ca="1" si="112"/>
        <v>EXPIRED</v>
      </c>
      <c r="AV97" s="66"/>
      <c r="AW97" s="9" t="str">
        <f t="shared" ca="1" si="143"/>
        <v>EXPIRED</v>
      </c>
      <c r="AX97" s="9" t="str">
        <f t="shared" ca="1" si="144"/>
        <v>--</v>
      </c>
      <c r="AY97" s="9" t="str">
        <f t="shared" ca="1" si="145"/>
        <v>EXPIRED</v>
      </c>
      <c r="AZ97" s="9" t="str">
        <f t="shared" ca="1" si="146"/>
        <v>--</v>
      </c>
      <c r="BA97" s="9" t="str">
        <f t="shared" ca="1" si="147"/>
        <v>EXPIRED</v>
      </c>
      <c r="BB97" s="9" t="str">
        <f t="shared" ca="1" si="148"/>
        <v>--</v>
      </c>
      <c r="BC97" s="9" t="str">
        <f t="shared" ca="1" si="113"/>
        <v>EXPIRED</v>
      </c>
      <c r="BD97" s="66"/>
    </row>
    <row r="98" spans="1:56" x14ac:dyDescent="0.25">
      <c r="A98" s="14">
        <f t="shared" si="151"/>
        <v>87</v>
      </c>
      <c r="B98" s="14">
        <f t="shared" si="151"/>
        <v>127</v>
      </c>
      <c r="C98" s="38">
        <f t="shared" si="109"/>
        <v>5.6003470821040198</v>
      </c>
      <c r="D98" s="66"/>
      <c r="E98" s="32" t="str">
        <f t="shared" ca="1" si="115"/>
        <v>EXPIRED</v>
      </c>
      <c r="F98" s="32" t="str">
        <f t="shared" ca="1" si="116"/>
        <v>--</v>
      </c>
      <c r="G98" s="32" t="str">
        <f t="shared" ca="1" si="117"/>
        <v>EXPIRED</v>
      </c>
      <c r="H98" s="32" t="str">
        <f ca="1">IF(Message&lt;&gt;"","--",I98*(1-IF(OR(Income!P97="NA",Income!P97=0),0.2,Income!P97)))</f>
        <v>--</v>
      </c>
      <c r="I98" s="32" t="str">
        <f t="shared" ca="1" si="118"/>
        <v>EXPIRED</v>
      </c>
      <c r="J98" s="66"/>
      <c r="K98" s="74" t="str">
        <f ca="1">IF(Message&lt;&gt;"",Message,Income!M97+Dashboard!I150+Dashboard!K150-Taxes!BR103)</f>
        <v>EXPIRED</v>
      </c>
      <c r="L98" s="74" t="str">
        <f t="shared" ca="1" si="119"/>
        <v>EXPIRED</v>
      </c>
      <c r="M98" s="5" t="str">
        <f t="shared" ca="1" si="120"/>
        <v>EXPIRED</v>
      </c>
      <c r="N98" s="5" t="str">
        <f ca="1">IF(Message&lt;&gt;"",Message,MAX(MIN(Target401K*C98,SUM(Income!D97:J97),W98+K98),-I97)+IF(W98+K98&lt;0,-M98,0))</f>
        <v>EXPIRED</v>
      </c>
      <c r="O98" s="66"/>
      <c r="P98" s="71" t="str">
        <f t="shared" ca="1" si="121"/>
        <v>EXPIRED</v>
      </c>
      <c r="Q98" s="71" t="str">
        <f t="shared" ca="1" si="122"/>
        <v>EXPIRED</v>
      </c>
      <c r="R98" s="66"/>
      <c r="S98" s="9" t="str">
        <f t="shared" ca="1" si="123"/>
        <v>EXPIRED</v>
      </c>
      <c r="T98" s="9" t="str">
        <f t="shared" ca="1" si="149"/>
        <v>EXPIRED</v>
      </c>
      <c r="U98" s="9">
        <f ca="1">+Taxes!L103</f>
        <v>0</v>
      </c>
      <c r="V98" s="9" t="str">
        <f t="shared" ca="1" si="124"/>
        <v>EXPIRED</v>
      </c>
      <c r="W98" s="9" t="e">
        <f t="shared" ca="1" si="150"/>
        <v>#VALUE!</v>
      </c>
      <c r="X98" s="66"/>
      <c r="Y98" s="9" t="str">
        <f t="shared" ca="1" si="125"/>
        <v>EXPIRED</v>
      </c>
      <c r="Z98" s="9" t="str">
        <f t="shared" ca="1" si="126"/>
        <v>--</v>
      </c>
      <c r="AA98" s="9" t="str">
        <f t="shared" ca="1" si="127"/>
        <v>EXPIRED</v>
      </c>
      <c r="AB98" s="9" t="str">
        <f t="shared" ca="1" si="128"/>
        <v>--</v>
      </c>
      <c r="AC98" s="9" t="str">
        <f t="shared" ca="1" si="129"/>
        <v>EXPIRED</v>
      </c>
      <c r="AD98" s="9" t="str">
        <f t="shared" ca="1" si="130"/>
        <v>--</v>
      </c>
      <c r="AE98" s="9" t="str">
        <f t="shared" ca="1" si="110"/>
        <v>EXPIRED</v>
      </c>
      <c r="AF98" s="66"/>
      <c r="AG98" s="9" t="str">
        <f t="shared" ca="1" si="131"/>
        <v>EXPIRED</v>
      </c>
      <c r="AH98" s="9" t="str">
        <f t="shared" ca="1" si="132"/>
        <v>--</v>
      </c>
      <c r="AI98" s="9" t="str">
        <f t="shared" ca="1" si="133"/>
        <v>EXPIRED</v>
      </c>
      <c r="AJ98" s="9" t="str">
        <f t="shared" ca="1" si="134"/>
        <v>--</v>
      </c>
      <c r="AK98" s="9" t="str">
        <f t="shared" ca="1" si="135"/>
        <v>EXPIRED</v>
      </c>
      <c r="AL98" s="9" t="str">
        <f t="shared" ca="1" si="136"/>
        <v>--</v>
      </c>
      <c r="AM98" s="9" t="str">
        <f t="shared" ca="1" si="111"/>
        <v>EXPIRED</v>
      </c>
      <c r="AN98" s="66"/>
      <c r="AO98" s="9" t="str">
        <f t="shared" ca="1" si="137"/>
        <v>EXPIRED</v>
      </c>
      <c r="AP98" s="9" t="str">
        <f t="shared" ca="1" si="138"/>
        <v>--</v>
      </c>
      <c r="AQ98" s="9" t="str">
        <f t="shared" ca="1" si="139"/>
        <v>EXPIRED</v>
      </c>
      <c r="AR98" s="9" t="str">
        <f t="shared" ca="1" si="140"/>
        <v>--</v>
      </c>
      <c r="AS98" s="9" t="str">
        <f t="shared" ca="1" si="141"/>
        <v>EXPIRED</v>
      </c>
      <c r="AT98" s="9" t="str">
        <f t="shared" ca="1" si="142"/>
        <v>--</v>
      </c>
      <c r="AU98" s="9" t="str">
        <f t="shared" ca="1" si="112"/>
        <v>EXPIRED</v>
      </c>
      <c r="AV98" s="66"/>
      <c r="AW98" s="9" t="str">
        <f t="shared" ca="1" si="143"/>
        <v>EXPIRED</v>
      </c>
      <c r="AX98" s="9" t="str">
        <f t="shared" ca="1" si="144"/>
        <v>--</v>
      </c>
      <c r="AY98" s="9" t="str">
        <f t="shared" ca="1" si="145"/>
        <v>EXPIRED</v>
      </c>
      <c r="AZ98" s="9" t="str">
        <f t="shared" ca="1" si="146"/>
        <v>--</v>
      </c>
      <c r="BA98" s="9" t="str">
        <f t="shared" ca="1" si="147"/>
        <v>EXPIRED</v>
      </c>
      <c r="BB98" s="9" t="str">
        <f t="shared" ca="1" si="148"/>
        <v>--</v>
      </c>
      <c r="BC98" s="9" t="str">
        <f t="shared" ca="1" si="113"/>
        <v>EXPIRED</v>
      </c>
      <c r="BD98" s="66"/>
    </row>
    <row r="99" spans="1:56" x14ac:dyDescent="0.25">
      <c r="A99" s="14">
        <f t="shared" si="151"/>
        <v>88</v>
      </c>
      <c r="B99" s="14">
        <f t="shared" si="151"/>
        <v>128</v>
      </c>
      <c r="C99" s="38">
        <f t="shared" si="109"/>
        <v>5.7123540237461006</v>
      </c>
      <c r="D99" s="66"/>
      <c r="E99" s="32" t="str">
        <f t="shared" ca="1" si="115"/>
        <v>EXPIRED</v>
      </c>
      <c r="F99" s="32" t="str">
        <f t="shared" ca="1" si="116"/>
        <v>--</v>
      </c>
      <c r="G99" s="32" t="str">
        <f t="shared" ca="1" si="117"/>
        <v>EXPIRED</v>
      </c>
      <c r="H99" s="32" t="str">
        <f ca="1">IF(Message&lt;&gt;"","--",I99*(1-IF(OR(Income!P98="NA",Income!P98=0),0.2,Income!P98)))</f>
        <v>--</v>
      </c>
      <c r="I99" s="32" t="str">
        <f t="shared" ca="1" si="118"/>
        <v>EXPIRED</v>
      </c>
      <c r="J99" s="66"/>
      <c r="K99" s="74" t="str">
        <f ca="1">IF(Message&lt;&gt;"",Message,Income!M98+Dashboard!I151+Dashboard!K151-Taxes!BR104)</f>
        <v>EXPIRED</v>
      </c>
      <c r="L99" s="74" t="str">
        <f t="shared" ca="1" si="119"/>
        <v>EXPIRED</v>
      </c>
      <c r="M99" s="5" t="str">
        <f t="shared" ca="1" si="120"/>
        <v>EXPIRED</v>
      </c>
      <c r="N99" s="5" t="str">
        <f ca="1">IF(Message&lt;&gt;"",Message,MAX(MIN(Target401K*C99,SUM(Income!D98:J98),W99+K99),-I98)+IF(W99+K99&lt;0,-M99,0))</f>
        <v>EXPIRED</v>
      </c>
      <c r="O99" s="66"/>
      <c r="P99" s="71" t="str">
        <f t="shared" ca="1" si="121"/>
        <v>EXPIRED</v>
      </c>
      <c r="Q99" s="71" t="str">
        <f t="shared" ca="1" si="122"/>
        <v>EXPIRED</v>
      </c>
      <c r="R99" s="66"/>
      <c r="S99" s="9" t="str">
        <f t="shared" ca="1" si="123"/>
        <v>EXPIRED</v>
      </c>
      <c r="T99" s="9" t="str">
        <f t="shared" ca="1" si="149"/>
        <v>EXPIRED</v>
      </c>
      <c r="U99" s="9">
        <f ca="1">+Taxes!L104</f>
        <v>0</v>
      </c>
      <c r="V99" s="9" t="str">
        <f t="shared" ca="1" si="124"/>
        <v>EXPIRED</v>
      </c>
      <c r="W99" s="9" t="e">
        <f t="shared" ca="1" si="150"/>
        <v>#VALUE!</v>
      </c>
      <c r="X99" s="66"/>
      <c r="Y99" s="9" t="str">
        <f t="shared" ca="1" si="125"/>
        <v>EXPIRED</v>
      </c>
      <c r="Z99" s="9" t="str">
        <f t="shared" ca="1" si="126"/>
        <v>--</v>
      </c>
      <c r="AA99" s="9" t="str">
        <f t="shared" ca="1" si="127"/>
        <v>EXPIRED</v>
      </c>
      <c r="AB99" s="9" t="str">
        <f t="shared" ca="1" si="128"/>
        <v>--</v>
      </c>
      <c r="AC99" s="9" t="str">
        <f t="shared" ca="1" si="129"/>
        <v>EXPIRED</v>
      </c>
      <c r="AD99" s="9" t="str">
        <f t="shared" ca="1" si="130"/>
        <v>--</v>
      </c>
      <c r="AE99" s="9" t="str">
        <f t="shared" ca="1" si="110"/>
        <v>EXPIRED</v>
      </c>
      <c r="AF99" s="66"/>
      <c r="AG99" s="9" t="str">
        <f t="shared" ca="1" si="131"/>
        <v>EXPIRED</v>
      </c>
      <c r="AH99" s="9" t="str">
        <f t="shared" ca="1" si="132"/>
        <v>--</v>
      </c>
      <c r="AI99" s="9" t="str">
        <f t="shared" ca="1" si="133"/>
        <v>EXPIRED</v>
      </c>
      <c r="AJ99" s="9" t="str">
        <f t="shared" ca="1" si="134"/>
        <v>--</v>
      </c>
      <c r="AK99" s="9" t="str">
        <f t="shared" ca="1" si="135"/>
        <v>EXPIRED</v>
      </c>
      <c r="AL99" s="9" t="str">
        <f t="shared" ca="1" si="136"/>
        <v>--</v>
      </c>
      <c r="AM99" s="9" t="str">
        <f t="shared" ca="1" si="111"/>
        <v>EXPIRED</v>
      </c>
      <c r="AN99" s="66"/>
      <c r="AO99" s="9" t="str">
        <f t="shared" ca="1" si="137"/>
        <v>EXPIRED</v>
      </c>
      <c r="AP99" s="9" t="str">
        <f t="shared" ca="1" si="138"/>
        <v>--</v>
      </c>
      <c r="AQ99" s="9" t="str">
        <f t="shared" ca="1" si="139"/>
        <v>EXPIRED</v>
      </c>
      <c r="AR99" s="9" t="str">
        <f t="shared" ca="1" si="140"/>
        <v>--</v>
      </c>
      <c r="AS99" s="9" t="str">
        <f t="shared" ca="1" si="141"/>
        <v>EXPIRED</v>
      </c>
      <c r="AT99" s="9" t="str">
        <f t="shared" ca="1" si="142"/>
        <v>--</v>
      </c>
      <c r="AU99" s="9" t="str">
        <f t="shared" ca="1" si="112"/>
        <v>EXPIRED</v>
      </c>
      <c r="AV99" s="66"/>
      <c r="AW99" s="9" t="str">
        <f t="shared" ca="1" si="143"/>
        <v>EXPIRED</v>
      </c>
      <c r="AX99" s="9" t="str">
        <f t="shared" ca="1" si="144"/>
        <v>--</v>
      </c>
      <c r="AY99" s="9" t="str">
        <f t="shared" ca="1" si="145"/>
        <v>EXPIRED</v>
      </c>
      <c r="AZ99" s="9" t="str">
        <f t="shared" ca="1" si="146"/>
        <v>--</v>
      </c>
      <c r="BA99" s="9" t="str">
        <f t="shared" ca="1" si="147"/>
        <v>EXPIRED</v>
      </c>
      <c r="BB99" s="9" t="str">
        <f t="shared" ca="1" si="148"/>
        <v>--</v>
      </c>
      <c r="BC99" s="9" t="str">
        <f t="shared" ca="1" si="113"/>
        <v>EXPIRED</v>
      </c>
      <c r="BD99" s="66"/>
    </row>
    <row r="100" spans="1:56" x14ac:dyDescent="0.25">
      <c r="A100" s="14">
        <f t="shared" si="151"/>
        <v>89</v>
      </c>
      <c r="B100" s="14">
        <f t="shared" si="151"/>
        <v>129</v>
      </c>
      <c r="C100" s="38">
        <f t="shared" si="109"/>
        <v>5.8266011042210231</v>
      </c>
      <c r="D100" s="66"/>
      <c r="E100" s="32" t="str">
        <f t="shared" ca="1" si="115"/>
        <v>EXPIRED</v>
      </c>
      <c r="F100" s="32" t="str">
        <f t="shared" ca="1" si="116"/>
        <v>--</v>
      </c>
      <c r="G100" s="32" t="str">
        <f t="shared" ca="1" si="117"/>
        <v>EXPIRED</v>
      </c>
      <c r="H100" s="32" t="str">
        <f ca="1">IF(Message&lt;&gt;"","--",I100*(1-IF(OR(Income!P99="NA",Income!P99=0),0.2,Income!P99)))</f>
        <v>--</v>
      </c>
      <c r="I100" s="32" t="str">
        <f t="shared" ca="1" si="118"/>
        <v>EXPIRED</v>
      </c>
      <c r="J100" s="66"/>
      <c r="K100" s="74" t="str">
        <f ca="1">IF(Message&lt;&gt;"",Message,Income!M99+Dashboard!I152+Dashboard!K152-Taxes!BR105)</f>
        <v>EXPIRED</v>
      </c>
      <c r="L100" s="74" t="str">
        <f t="shared" ca="1" si="119"/>
        <v>EXPIRED</v>
      </c>
      <c r="M100" s="5" t="str">
        <f t="shared" ca="1" si="120"/>
        <v>EXPIRED</v>
      </c>
      <c r="N100" s="5" t="str">
        <f ca="1">IF(Message&lt;&gt;"",Message,MAX(MIN(Target401K*C100,SUM(Income!D99:J99),W100+K100),-I99)+IF(W100+K100&lt;0,-M100,0))</f>
        <v>EXPIRED</v>
      </c>
      <c r="O100" s="66"/>
      <c r="P100" s="71" t="str">
        <f t="shared" ca="1" si="121"/>
        <v>EXPIRED</v>
      </c>
      <c r="Q100" s="71" t="str">
        <f t="shared" ca="1" si="122"/>
        <v>EXPIRED</v>
      </c>
      <c r="R100" s="66"/>
      <c r="S100" s="9" t="str">
        <f t="shared" ca="1" si="123"/>
        <v>EXPIRED</v>
      </c>
      <c r="T100" s="9" t="str">
        <f t="shared" ca="1" si="149"/>
        <v>EXPIRED</v>
      </c>
      <c r="U100" s="9">
        <f ca="1">+Taxes!L105</f>
        <v>0</v>
      </c>
      <c r="V100" s="9" t="str">
        <f t="shared" ca="1" si="124"/>
        <v>EXPIRED</v>
      </c>
      <c r="W100" s="9" t="e">
        <f t="shared" ca="1" si="150"/>
        <v>#VALUE!</v>
      </c>
      <c r="X100" s="66"/>
      <c r="Y100" s="9" t="str">
        <f t="shared" ca="1" si="125"/>
        <v>EXPIRED</v>
      </c>
      <c r="Z100" s="9" t="str">
        <f t="shared" ca="1" si="126"/>
        <v>--</v>
      </c>
      <c r="AA100" s="9" t="str">
        <f t="shared" ca="1" si="127"/>
        <v>EXPIRED</v>
      </c>
      <c r="AB100" s="9" t="str">
        <f t="shared" ca="1" si="128"/>
        <v>--</v>
      </c>
      <c r="AC100" s="9" t="str">
        <f t="shared" ca="1" si="129"/>
        <v>EXPIRED</v>
      </c>
      <c r="AD100" s="9" t="str">
        <f t="shared" ca="1" si="130"/>
        <v>--</v>
      </c>
      <c r="AE100" s="9" t="str">
        <f t="shared" ca="1" si="110"/>
        <v>EXPIRED</v>
      </c>
      <c r="AF100" s="66"/>
      <c r="AG100" s="9" t="str">
        <f t="shared" ca="1" si="131"/>
        <v>EXPIRED</v>
      </c>
      <c r="AH100" s="9" t="str">
        <f t="shared" ca="1" si="132"/>
        <v>--</v>
      </c>
      <c r="AI100" s="9" t="str">
        <f t="shared" ca="1" si="133"/>
        <v>EXPIRED</v>
      </c>
      <c r="AJ100" s="9" t="str">
        <f t="shared" ca="1" si="134"/>
        <v>--</v>
      </c>
      <c r="AK100" s="9" t="str">
        <f t="shared" ca="1" si="135"/>
        <v>EXPIRED</v>
      </c>
      <c r="AL100" s="9" t="str">
        <f t="shared" ca="1" si="136"/>
        <v>--</v>
      </c>
      <c r="AM100" s="9" t="str">
        <f t="shared" ca="1" si="111"/>
        <v>EXPIRED</v>
      </c>
      <c r="AN100" s="66"/>
      <c r="AO100" s="9" t="str">
        <f t="shared" ca="1" si="137"/>
        <v>EXPIRED</v>
      </c>
      <c r="AP100" s="9" t="str">
        <f t="shared" ca="1" si="138"/>
        <v>--</v>
      </c>
      <c r="AQ100" s="9" t="str">
        <f t="shared" ca="1" si="139"/>
        <v>EXPIRED</v>
      </c>
      <c r="AR100" s="9" t="str">
        <f t="shared" ca="1" si="140"/>
        <v>--</v>
      </c>
      <c r="AS100" s="9" t="str">
        <f t="shared" ca="1" si="141"/>
        <v>EXPIRED</v>
      </c>
      <c r="AT100" s="9" t="str">
        <f t="shared" ca="1" si="142"/>
        <v>--</v>
      </c>
      <c r="AU100" s="9" t="str">
        <f t="shared" ca="1" si="112"/>
        <v>EXPIRED</v>
      </c>
      <c r="AV100" s="66"/>
      <c r="AW100" s="9" t="str">
        <f t="shared" ca="1" si="143"/>
        <v>EXPIRED</v>
      </c>
      <c r="AX100" s="9" t="str">
        <f t="shared" ca="1" si="144"/>
        <v>--</v>
      </c>
      <c r="AY100" s="9" t="str">
        <f t="shared" ca="1" si="145"/>
        <v>EXPIRED</v>
      </c>
      <c r="AZ100" s="9" t="str">
        <f t="shared" ca="1" si="146"/>
        <v>--</v>
      </c>
      <c r="BA100" s="9" t="str">
        <f t="shared" ca="1" si="147"/>
        <v>EXPIRED</v>
      </c>
      <c r="BB100" s="9" t="str">
        <f t="shared" ca="1" si="148"/>
        <v>--</v>
      </c>
      <c r="BC100" s="9" t="str">
        <f t="shared" ca="1" si="113"/>
        <v>EXPIRED</v>
      </c>
      <c r="BD100" s="66"/>
    </row>
    <row r="101" spans="1:56" x14ac:dyDescent="0.25">
      <c r="A101" s="14">
        <f t="shared" si="151"/>
        <v>90</v>
      </c>
      <c r="B101" s="14">
        <f t="shared" si="151"/>
        <v>130</v>
      </c>
      <c r="C101" s="38">
        <f t="shared" si="109"/>
        <v>5.9431331263054439</v>
      </c>
      <c r="D101" s="66"/>
      <c r="E101" s="32" t="str">
        <f t="shared" ca="1" si="115"/>
        <v>EXPIRED</v>
      </c>
      <c r="F101" s="32" t="str">
        <f t="shared" ca="1" si="116"/>
        <v>--</v>
      </c>
      <c r="G101" s="32" t="str">
        <f t="shared" ca="1" si="117"/>
        <v>EXPIRED</v>
      </c>
      <c r="H101" s="32" t="str">
        <f ca="1">IF(Message&lt;&gt;"","--",I101*(1-IF(OR(Income!P100="NA",Income!P100=0),0.2,Income!P100)))</f>
        <v>--</v>
      </c>
      <c r="I101" s="32" t="str">
        <f t="shared" ca="1" si="118"/>
        <v>EXPIRED</v>
      </c>
      <c r="J101" s="66"/>
      <c r="K101" s="74" t="str">
        <f ca="1">IF(Message&lt;&gt;"",Message,Income!M100+Dashboard!I153+Dashboard!K153-Taxes!BR106)</f>
        <v>EXPIRED</v>
      </c>
      <c r="L101" s="74" t="str">
        <f t="shared" ca="1" si="119"/>
        <v>EXPIRED</v>
      </c>
      <c r="M101" s="5" t="str">
        <f t="shared" ca="1" si="120"/>
        <v>EXPIRED</v>
      </c>
      <c r="N101" s="5" t="str">
        <f ca="1">IF(Message&lt;&gt;"",Message,MAX(MIN(Target401K*C101,SUM(Income!D100:J100),W101+K101),-I100)+IF(W101+K101&lt;0,-M101,0))</f>
        <v>EXPIRED</v>
      </c>
      <c r="O101" s="66"/>
      <c r="P101" s="71" t="str">
        <f t="shared" ca="1" si="121"/>
        <v>EXPIRED</v>
      </c>
      <c r="Q101" s="71" t="str">
        <f t="shared" ca="1" si="122"/>
        <v>EXPIRED</v>
      </c>
      <c r="R101" s="66"/>
      <c r="S101" s="9" t="str">
        <f t="shared" ca="1" si="123"/>
        <v>EXPIRED</v>
      </c>
      <c r="T101" s="9" t="str">
        <f t="shared" ca="1" si="149"/>
        <v>EXPIRED</v>
      </c>
      <c r="U101" s="9">
        <f ca="1">+Taxes!L106</f>
        <v>0</v>
      </c>
      <c r="V101" s="9" t="str">
        <f t="shared" ca="1" si="124"/>
        <v>EXPIRED</v>
      </c>
      <c r="W101" s="9" t="e">
        <f t="shared" ca="1" si="150"/>
        <v>#VALUE!</v>
      </c>
      <c r="X101" s="66"/>
      <c r="Y101" s="9" t="str">
        <f t="shared" ca="1" si="125"/>
        <v>EXPIRED</v>
      </c>
      <c r="Z101" s="9" t="str">
        <f t="shared" ca="1" si="126"/>
        <v>--</v>
      </c>
      <c r="AA101" s="9" t="str">
        <f t="shared" ca="1" si="127"/>
        <v>EXPIRED</v>
      </c>
      <c r="AB101" s="9" t="str">
        <f t="shared" ca="1" si="128"/>
        <v>--</v>
      </c>
      <c r="AC101" s="9" t="str">
        <f t="shared" ca="1" si="129"/>
        <v>EXPIRED</v>
      </c>
      <c r="AD101" s="9" t="str">
        <f t="shared" ca="1" si="130"/>
        <v>--</v>
      </c>
      <c r="AE101" s="9" t="str">
        <f t="shared" ca="1" si="110"/>
        <v>EXPIRED</v>
      </c>
      <c r="AF101" s="66"/>
      <c r="AG101" s="9" t="str">
        <f t="shared" ca="1" si="131"/>
        <v>EXPIRED</v>
      </c>
      <c r="AH101" s="9" t="str">
        <f t="shared" ca="1" si="132"/>
        <v>--</v>
      </c>
      <c r="AI101" s="9" t="str">
        <f t="shared" ca="1" si="133"/>
        <v>EXPIRED</v>
      </c>
      <c r="AJ101" s="9" t="str">
        <f t="shared" ca="1" si="134"/>
        <v>--</v>
      </c>
      <c r="AK101" s="9" t="str">
        <f t="shared" ca="1" si="135"/>
        <v>EXPIRED</v>
      </c>
      <c r="AL101" s="9" t="str">
        <f t="shared" ca="1" si="136"/>
        <v>--</v>
      </c>
      <c r="AM101" s="9" t="str">
        <f t="shared" ca="1" si="111"/>
        <v>EXPIRED</v>
      </c>
      <c r="AN101" s="66"/>
      <c r="AO101" s="9" t="str">
        <f t="shared" ca="1" si="137"/>
        <v>EXPIRED</v>
      </c>
      <c r="AP101" s="9" t="str">
        <f t="shared" ca="1" si="138"/>
        <v>--</v>
      </c>
      <c r="AQ101" s="9" t="str">
        <f t="shared" ca="1" si="139"/>
        <v>EXPIRED</v>
      </c>
      <c r="AR101" s="9" t="str">
        <f t="shared" ca="1" si="140"/>
        <v>--</v>
      </c>
      <c r="AS101" s="9" t="str">
        <f t="shared" ca="1" si="141"/>
        <v>EXPIRED</v>
      </c>
      <c r="AT101" s="9" t="str">
        <f t="shared" ca="1" si="142"/>
        <v>--</v>
      </c>
      <c r="AU101" s="9" t="str">
        <f t="shared" ca="1" si="112"/>
        <v>EXPIRED</v>
      </c>
      <c r="AV101" s="66"/>
      <c r="AW101" s="9" t="str">
        <f t="shared" ca="1" si="143"/>
        <v>EXPIRED</v>
      </c>
      <c r="AX101" s="9" t="str">
        <f t="shared" ca="1" si="144"/>
        <v>--</v>
      </c>
      <c r="AY101" s="9" t="str">
        <f t="shared" ca="1" si="145"/>
        <v>EXPIRED</v>
      </c>
      <c r="AZ101" s="9" t="str">
        <f t="shared" ca="1" si="146"/>
        <v>--</v>
      </c>
      <c r="BA101" s="9" t="str">
        <f t="shared" ca="1" si="147"/>
        <v>EXPIRED</v>
      </c>
      <c r="BB101" s="9" t="str">
        <f t="shared" ca="1" si="148"/>
        <v>--</v>
      </c>
      <c r="BC101" s="9" t="str">
        <f t="shared" ca="1" si="113"/>
        <v>EXPIRED</v>
      </c>
      <c r="BD101" s="66"/>
    </row>
    <row r="102" spans="1:56" x14ac:dyDescent="0.25">
      <c r="A102" s="14">
        <f t="shared" si="151"/>
        <v>91</v>
      </c>
      <c r="B102" s="14">
        <f t="shared" si="151"/>
        <v>131</v>
      </c>
      <c r="C102" s="38">
        <f t="shared" si="109"/>
        <v>6.0619957888315517</v>
      </c>
      <c r="D102" s="66"/>
      <c r="E102" s="32" t="str">
        <f t="shared" ca="1" si="115"/>
        <v>EXPIRED</v>
      </c>
      <c r="F102" s="32" t="str">
        <f t="shared" ca="1" si="116"/>
        <v>--</v>
      </c>
      <c r="G102" s="32" t="str">
        <f t="shared" ca="1" si="117"/>
        <v>EXPIRED</v>
      </c>
      <c r="H102" s="32" t="str">
        <f ca="1">IF(Message&lt;&gt;"","--",I102*(1-IF(OR(Income!P101="NA",Income!P101=0),0.2,Income!P101)))</f>
        <v>--</v>
      </c>
      <c r="I102" s="32" t="str">
        <f t="shared" ca="1" si="118"/>
        <v>EXPIRED</v>
      </c>
      <c r="J102" s="66"/>
      <c r="K102" s="74" t="str">
        <f ca="1">IF(Message&lt;&gt;"",Message,Income!M101+Dashboard!I154+Dashboard!K154-Taxes!BR107)</f>
        <v>EXPIRED</v>
      </c>
      <c r="L102" s="74" t="str">
        <f t="shared" ca="1" si="119"/>
        <v>EXPIRED</v>
      </c>
      <c r="M102" s="5" t="str">
        <f t="shared" ca="1" si="120"/>
        <v>EXPIRED</v>
      </c>
      <c r="N102" s="5" t="str">
        <f ca="1">IF(Message&lt;&gt;"",Message,MAX(MIN(Target401K*C102,SUM(Income!D101:J101),W102+K102),-I101)+IF(W102+K102&lt;0,-M102,0))</f>
        <v>EXPIRED</v>
      </c>
      <c r="O102" s="66"/>
      <c r="P102" s="71" t="str">
        <f t="shared" ca="1" si="121"/>
        <v>EXPIRED</v>
      </c>
      <c r="Q102" s="71" t="str">
        <f t="shared" ca="1" si="122"/>
        <v>EXPIRED</v>
      </c>
      <c r="R102" s="66"/>
      <c r="S102" s="9" t="str">
        <f t="shared" ca="1" si="123"/>
        <v>EXPIRED</v>
      </c>
      <c r="T102" s="9" t="str">
        <f t="shared" ca="1" si="149"/>
        <v>EXPIRED</v>
      </c>
      <c r="U102" s="9">
        <f ca="1">+Taxes!L107</f>
        <v>0</v>
      </c>
      <c r="V102" s="9" t="str">
        <f t="shared" ca="1" si="124"/>
        <v>EXPIRED</v>
      </c>
      <c r="W102" s="9" t="e">
        <f t="shared" ca="1" si="150"/>
        <v>#VALUE!</v>
      </c>
      <c r="X102" s="66"/>
      <c r="Y102" s="9" t="str">
        <f t="shared" ca="1" si="125"/>
        <v>EXPIRED</v>
      </c>
      <c r="Z102" s="9" t="str">
        <f t="shared" ca="1" si="126"/>
        <v>--</v>
      </c>
      <c r="AA102" s="9" t="str">
        <f t="shared" ca="1" si="127"/>
        <v>EXPIRED</v>
      </c>
      <c r="AB102" s="9" t="str">
        <f t="shared" ca="1" si="128"/>
        <v>--</v>
      </c>
      <c r="AC102" s="9" t="str">
        <f t="shared" ca="1" si="129"/>
        <v>EXPIRED</v>
      </c>
      <c r="AD102" s="9" t="str">
        <f t="shared" ca="1" si="130"/>
        <v>--</v>
      </c>
      <c r="AE102" s="9" t="str">
        <f t="shared" ca="1" si="110"/>
        <v>EXPIRED</v>
      </c>
      <c r="AF102" s="66"/>
      <c r="AG102" s="9" t="str">
        <f t="shared" ca="1" si="131"/>
        <v>EXPIRED</v>
      </c>
      <c r="AH102" s="9" t="str">
        <f t="shared" ca="1" si="132"/>
        <v>--</v>
      </c>
      <c r="AI102" s="9" t="str">
        <f t="shared" ca="1" si="133"/>
        <v>EXPIRED</v>
      </c>
      <c r="AJ102" s="9" t="str">
        <f t="shared" ca="1" si="134"/>
        <v>--</v>
      </c>
      <c r="AK102" s="9" t="str">
        <f t="shared" ca="1" si="135"/>
        <v>EXPIRED</v>
      </c>
      <c r="AL102" s="9" t="str">
        <f t="shared" ca="1" si="136"/>
        <v>--</v>
      </c>
      <c r="AM102" s="9" t="str">
        <f t="shared" ca="1" si="111"/>
        <v>EXPIRED</v>
      </c>
      <c r="AN102" s="66"/>
      <c r="AO102" s="9" t="str">
        <f t="shared" ca="1" si="137"/>
        <v>EXPIRED</v>
      </c>
      <c r="AP102" s="9" t="str">
        <f t="shared" ca="1" si="138"/>
        <v>--</v>
      </c>
      <c r="AQ102" s="9" t="str">
        <f t="shared" ca="1" si="139"/>
        <v>EXPIRED</v>
      </c>
      <c r="AR102" s="9" t="str">
        <f t="shared" ca="1" si="140"/>
        <v>--</v>
      </c>
      <c r="AS102" s="9" t="str">
        <f t="shared" ca="1" si="141"/>
        <v>EXPIRED</v>
      </c>
      <c r="AT102" s="9" t="str">
        <f t="shared" ca="1" si="142"/>
        <v>--</v>
      </c>
      <c r="AU102" s="9" t="str">
        <f t="shared" ca="1" si="112"/>
        <v>EXPIRED</v>
      </c>
      <c r="AV102" s="66"/>
      <c r="AW102" s="9" t="str">
        <f t="shared" ca="1" si="143"/>
        <v>EXPIRED</v>
      </c>
      <c r="AX102" s="9" t="str">
        <f t="shared" ca="1" si="144"/>
        <v>--</v>
      </c>
      <c r="AY102" s="9" t="str">
        <f t="shared" ca="1" si="145"/>
        <v>EXPIRED</v>
      </c>
      <c r="AZ102" s="9" t="str">
        <f t="shared" ca="1" si="146"/>
        <v>--</v>
      </c>
      <c r="BA102" s="9" t="str">
        <f t="shared" ca="1" si="147"/>
        <v>EXPIRED</v>
      </c>
      <c r="BB102" s="9" t="str">
        <f t="shared" ca="1" si="148"/>
        <v>--</v>
      </c>
      <c r="BC102" s="9" t="str">
        <f t="shared" ca="1" si="113"/>
        <v>EXPIRED</v>
      </c>
      <c r="BD102" s="66"/>
    </row>
    <row r="103" spans="1:56" x14ac:dyDescent="0.25">
      <c r="A103" s="14">
        <f t="shared" si="151"/>
        <v>92</v>
      </c>
      <c r="B103" s="14">
        <f t="shared" si="151"/>
        <v>132</v>
      </c>
      <c r="C103" s="38">
        <f t="shared" si="109"/>
        <v>6.1832357046081841</v>
      </c>
      <c r="D103" s="66"/>
      <c r="E103" s="32" t="str">
        <f t="shared" ca="1" si="115"/>
        <v>EXPIRED</v>
      </c>
      <c r="F103" s="32" t="str">
        <f t="shared" ca="1" si="116"/>
        <v>--</v>
      </c>
      <c r="G103" s="32" t="str">
        <f t="shared" ca="1" si="117"/>
        <v>EXPIRED</v>
      </c>
      <c r="H103" s="32" t="str">
        <f ca="1">IF(Message&lt;&gt;"","--",I103*(1-IF(OR(Income!P102="NA",Income!P102=0),0.2,Income!P102)))</f>
        <v>--</v>
      </c>
      <c r="I103" s="32" t="str">
        <f t="shared" ca="1" si="118"/>
        <v>EXPIRED</v>
      </c>
      <c r="J103" s="66"/>
      <c r="K103" s="74" t="str">
        <f ca="1">IF(Message&lt;&gt;"",Message,Income!M102+Dashboard!I155+Dashboard!K155-Taxes!BR108)</f>
        <v>EXPIRED</v>
      </c>
      <c r="L103" s="74" t="str">
        <f t="shared" ca="1" si="119"/>
        <v>EXPIRED</v>
      </c>
      <c r="M103" s="5" t="str">
        <f t="shared" ca="1" si="120"/>
        <v>EXPIRED</v>
      </c>
      <c r="N103" s="5" t="str">
        <f ca="1">IF(Message&lt;&gt;"",Message,MAX(MIN(Target401K*C103,SUM(Income!D102:J102),W103+K103),-I102)+IF(W103+K103&lt;0,-M103,0))</f>
        <v>EXPIRED</v>
      </c>
      <c r="O103" s="66"/>
      <c r="P103" s="71" t="str">
        <f t="shared" ca="1" si="121"/>
        <v>EXPIRED</v>
      </c>
      <c r="Q103" s="71" t="str">
        <f t="shared" ca="1" si="122"/>
        <v>EXPIRED</v>
      </c>
      <c r="R103" s="66"/>
      <c r="S103" s="9" t="str">
        <f t="shared" ca="1" si="123"/>
        <v>EXPIRED</v>
      </c>
      <c r="T103" s="9" t="str">
        <f t="shared" ca="1" si="149"/>
        <v>EXPIRED</v>
      </c>
      <c r="U103" s="9">
        <f ca="1">+Taxes!L108</f>
        <v>0</v>
      </c>
      <c r="V103" s="9" t="str">
        <f t="shared" ca="1" si="124"/>
        <v>EXPIRED</v>
      </c>
      <c r="W103" s="9" t="e">
        <f t="shared" ca="1" si="150"/>
        <v>#VALUE!</v>
      </c>
      <c r="X103" s="66"/>
      <c r="Y103" s="9" t="str">
        <f t="shared" ca="1" si="125"/>
        <v>EXPIRED</v>
      </c>
      <c r="Z103" s="9" t="str">
        <f t="shared" ca="1" si="126"/>
        <v>--</v>
      </c>
      <c r="AA103" s="9" t="str">
        <f t="shared" ca="1" si="127"/>
        <v>EXPIRED</v>
      </c>
      <c r="AB103" s="9" t="str">
        <f t="shared" ca="1" si="128"/>
        <v>--</v>
      </c>
      <c r="AC103" s="9" t="str">
        <f t="shared" ca="1" si="129"/>
        <v>EXPIRED</v>
      </c>
      <c r="AD103" s="9" t="str">
        <f t="shared" ca="1" si="130"/>
        <v>--</v>
      </c>
      <c r="AE103" s="9" t="str">
        <f t="shared" ca="1" si="110"/>
        <v>EXPIRED</v>
      </c>
      <c r="AF103" s="66"/>
      <c r="AG103" s="9" t="str">
        <f t="shared" ca="1" si="131"/>
        <v>EXPIRED</v>
      </c>
      <c r="AH103" s="9" t="str">
        <f t="shared" ca="1" si="132"/>
        <v>--</v>
      </c>
      <c r="AI103" s="9" t="str">
        <f t="shared" ca="1" si="133"/>
        <v>EXPIRED</v>
      </c>
      <c r="AJ103" s="9" t="str">
        <f t="shared" ca="1" si="134"/>
        <v>--</v>
      </c>
      <c r="AK103" s="9" t="str">
        <f t="shared" ca="1" si="135"/>
        <v>EXPIRED</v>
      </c>
      <c r="AL103" s="9" t="str">
        <f t="shared" ca="1" si="136"/>
        <v>--</v>
      </c>
      <c r="AM103" s="9" t="str">
        <f t="shared" ca="1" si="111"/>
        <v>EXPIRED</v>
      </c>
      <c r="AN103" s="66"/>
      <c r="AO103" s="9" t="str">
        <f t="shared" ca="1" si="137"/>
        <v>EXPIRED</v>
      </c>
      <c r="AP103" s="9" t="str">
        <f t="shared" ca="1" si="138"/>
        <v>--</v>
      </c>
      <c r="AQ103" s="9" t="str">
        <f t="shared" ca="1" si="139"/>
        <v>EXPIRED</v>
      </c>
      <c r="AR103" s="9" t="str">
        <f t="shared" ca="1" si="140"/>
        <v>--</v>
      </c>
      <c r="AS103" s="9" t="str">
        <f t="shared" ca="1" si="141"/>
        <v>EXPIRED</v>
      </c>
      <c r="AT103" s="9" t="str">
        <f t="shared" ca="1" si="142"/>
        <v>--</v>
      </c>
      <c r="AU103" s="9" t="str">
        <f t="shared" ca="1" si="112"/>
        <v>EXPIRED</v>
      </c>
      <c r="AV103" s="66"/>
      <c r="AW103" s="9" t="str">
        <f t="shared" ca="1" si="143"/>
        <v>EXPIRED</v>
      </c>
      <c r="AX103" s="9" t="str">
        <f t="shared" ca="1" si="144"/>
        <v>--</v>
      </c>
      <c r="AY103" s="9" t="str">
        <f t="shared" ca="1" si="145"/>
        <v>EXPIRED</v>
      </c>
      <c r="AZ103" s="9" t="str">
        <f t="shared" ca="1" si="146"/>
        <v>--</v>
      </c>
      <c r="BA103" s="9" t="str">
        <f t="shared" ca="1" si="147"/>
        <v>EXPIRED</v>
      </c>
      <c r="BB103" s="9" t="str">
        <f t="shared" ca="1" si="148"/>
        <v>--</v>
      </c>
      <c r="BC103" s="9" t="str">
        <f t="shared" ca="1" si="113"/>
        <v>EXPIRED</v>
      </c>
      <c r="BD103" s="66"/>
    </row>
    <row r="104" spans="1:56" x14ac:dyDescent="0.25">
      <c r="A104" s="14">
        <f t="shared" si="151"/>
        <v>93</v>
      </c>
      <c r="B104" s="14">
        <f t="shared" si="151"/>
        <v>133</v>
      </c>
      <c r="C104" s="38">
        <f t="shared" si="109"/>
        <v>6.306900418700347</v>
      </c>
      <c r="D104" s="66"/>
      <c r="E104" s="32" t="str">
        <f t="shared" ca="1" si="115"/>
        <v>EXPIRED</v>
      </c>
      <c r="F104" s="32" t="str">
        <f t="shared" ca="1" si="116"/>
        <v>--</v>
      </c>
      <c r="G104" s="32" t="str">
        <f t="shared" ca="1" si="117"/>
        <v>EXPIRED</v>
      </c>
      <c r="H104" s="32" t="str">
        <f ca="1">IF(Message&lt;&gt;"","--",I104*(1-IF(OR(Income!P103="NA",Income!P103=0),0.2,Income!P103)))</f>
        <v>--</v>
      </c>
      <c r="I104" s="32" t="str">
        <f t="shared" ca="1" si="118"/>
        <v>EXPIRED</v>
      </c>
      <c r="J104" s="66"/>
      <c r="K104" s="74" t="str">
        <f ca="1">IF(Message&lt;&gt;"",Message,Income!M103+Dashboard!I156+Dashboard!K156-Taxes!BR109)</f>
        <v>EXPIRED</v>
      </c>
      <c r="L104" s="74" t="str">
        <f t="shared" ca="1" si="119"/>
        <v>EXPIRED</v>
      </c>
      <c r="M104" s="5" t="str">
        <f t="shared" ca="1" si="120"/>
        <v>EXPIRED</v>
      </c>
      <c r="N104" s="5" t="str">
        <f ca="1">IF(Message&lt;&gt;"",Message,MAX(MIN(Target401K*C104,SUM(Income!D103:J103),W104+K104),-I103)+IF(W104+K104&lt;0,-M104,0))</f>
        <v>EXPIRED</v>
      </c>
      <c r="O104" s="66"/>
      <c r="P104" s="71" t="str">
        <f t="shared" ca="1" si="121"/>
        <v>EXPIRED</v>
      </c>
      <c r="Q104" s="71" t="str">
        <f t="shared" ca="1" si="122"/>
        <v>EXPIRED</v>
      </c>
      <c r="R104" s="66"/>
      <c r="S104" s="9" t="str">
        <f t="shared" ca="1" si="123"/>
        <v>EXPIRED</v>
      </c>
      <c r="T104" s="9" t="str">
        <f t="shared" ca="1" si="149"/>
        <v>EXPIRED</v>
      </c>
      <c r="U104" s="9">
        <f ca="1">+Taxes!L109</f>
        <v>0</v>
      </c>
      <c r="V104" s="9" t="str">
        <f t="shared" ca="1" si="124"/>
        <v>EXPIRED</v>
      </c>
      <c r="W104" s="9" t="e">
        <f t="shared" ca="1" si="150"/>
        <v>#VALUE!</v>
      </c>
      <c r="X104" s="66"/>
      <c r="Y104" s="9" t="str">
        <f t="shared" ca="1" si="125"/>
        <v>EXPIRED</v>
      </c>
      <c r="Z104" s="9" t="str">
        <f t="shared" ca="1" si="126"/>
        <v>--</v>
      </c>
      <c r="AA104" s="9" t="str">
        <f t="shared" ca="1" si="127"/>
        <v>EXPIRED</v>
      </c>
      <c r="AB104" s="9" t="str">
        <f t="shared" ca="1" si="128"/>
        <v>--</v>
      </c>
      <c r="AC104" s="9" t="str">
        <f t="shared" ca="1" si="129"/>
        <v>EXPIRED</v>
      </c>
      <c r="AD104" s="9" t="str">
        <f t="shared" ca="1" si="130"/>
        <v>--</v>
      </c>
      <c r="AE104" s="9" t="str">
        <f t="shared" ca="1" si="110"/>
        <v>EXPIRED</v>
      </c>
      <c r="AF104" s="66"/>
      <c r="AG104" s="9" t="str">
        <f t="shared" ca="1" si="131"/>
        <v>EXPIRED</v>
      </c>
      <c r="AH104" s="9" t="str">
        <f t="shared" ca="1" si="132"/>
        <v>--</v>
      </c>
      <c r="AI104" s="9" t="str">
        <f t="shared" ca="1" si="133"/>
        <v>EXPIRED</v>
      </c>
      <c r="AJ104" s="9" t="str">
        <f t="shared" ca="1" si="134"/>
        <v>--</v>
      </c>
      <c r="AK104" s="9" t="str">
        <f t="shared" ca="1" si="135"/>
        <v>EXPIRED</v>
      </c>
      <c r="AL104" s="9" t="str">
        <f t="shared" ca="1" si="136"/>
        <v>--</v>
      </c>
      <c r="AM104" s="9" t="str">
        <f t="shared" ca="1" si="111"/>
        <v>EXPIRED</v>
      </c>
      <c r="AN104" s="66"/>
      <c r="AO104" s="9" t="str">
        <f t="shared" ca="1" si="137"/>
        <v>EXPIRED</v>
      </c>
      <c r="AP104" s="9" t="str">
        <f t="shared" ca="1" si="138"/>
        <v>--</v>
      </c>
      <c r="AQ104" s="9" t="str">
        <f t="shared" ca="1" si="139"/>
        <v>EXPIRED</v>
      </c>
      <c r="AR104" s="9" t="str">
        <f t="shared" ca="1" si="140"/>
        <v>--</v>
      </c>
      <c r="AS104" s="9" t="str">
        <f t="shared" ca="1" si="141"/>
        <v>EXPIRED</v>
      </c>
      <c r="AT104" s="9" t="str">
        <f t="shared" ca="1" si="142"/>
        <v>--</v>
      </c>
      <c r="AU104" s="9" t="str">
        <f t="shared" ca="1" si="112"/>
        <v>EXPIRED</v>
      </c>
      <c r="AV104" s="66"/>
      <c r="AW104" s="9" t="str">
        <f t="shared" ca="1" si="143"/>
        <v>EXPIRED</v>
      </c>
      <c r="AX104" s="9" t="str">
        <f t="shared" ca="1" si="144"/>
        <v>--</v>
      </c>
      <c r="AY104" s="9" t="str">
        <f t="shared" ca="1" si="145"/>
        <v>EXPIRED</v>
      </c>
      <c r="AZ104" s="9" t="str">
        <f t="shared" ca="1" si="146"/>
        <v>--</v>
      </c>
      <c r="BA104" s="9" t="str">
        <f t="shared" ca="1" si="147"/>
        <v>EXPIRED</v>
      </c>
      <c r="BB104" s="9" t="str">
        <f t="shared" ca="1" si="148"/>
        <v>--</v>
      </c>
      <c r="BC104" s="9" t="str">
        <f t="shared" ca="1" si="113"/>
        <v>EXPIRED</v>
      </c>
      <c r="BD104" s="66"/>
    </row>
    <row r="105" spans="1:56" x14ac:dyDescent="0.25">
      <c r="A105" s="14">
        <f t="shared" si="151"/>
        <v>94</v>
      </c>
      <c r="B105" s="14">
        <f t="shared" si="151"/>
        <v>134</v>
      </c>
      <c r="C105" s="38">
        <f t="shared" si="109"/>
        <v>6.4330384270743544</v>
      </c>
      <c r="D105" s="66"/>
      <c r="E105" s="32" t="str">
        <f t="shared" ca="1" si="115"/>
        <v>EXPIRED</v>
      </c>
      <c r="F105" s="32" t="str">
        <f t="shared" ca="1" si="116"/>
        <v>--</v>
      </c>
      <c r="G105" s="32" t="str">
        <f t="shared" ca="1" si="117"/>
        <v>EXPIRED</v>
      </c>
      <c r="H105" s="32" t="str">
        <f ca="1">IF(Message&lt;&gt;"","--",I105*(1-IF(OR(Income!P104="NA",Income!P104=0),0.2,Income!P104)))</f>
        <v>--</v>
      </c>
      <c r="I105" s="32" t="str">
        <f t="shared" ca="1" si="118"/>
        <v>EXPIRED</v>
      </c>
      <c r="J105" s="66"/>
      <c r="K105" s="74" t="str">
        <f ca="1">IF(Message&lt;&gt;"",Message,Income!M104+Dashboard!I157+Dashboard!K157-Taxes!BR110)</f>
        <v>EXPIRED</v>
      </c>
      <c r="L105" s="74" t="str">
        <f t="shared" ca="1" si="119"/>
        <v>EXPIRED</v>
      </c>
      <c r="M105" s="5" t="str">
        <f t="shared" ca="1" si="120"/>
        <v>EXPIRED</v>
      </c>
      <c r="N105" s="5" t="str">
        <f ca="1">IF(Message&lt;&gt;"",Message,MAX(MIN(Target401K*C105,SUM(Income!D104:J104),W105+K105),-I104)+IF(W105+K105&lt;0,-M105,0))</f>
        <v>EXPIRED</v>
      </c>
      <c r="O105" s="66"/>
      <c r="P105" s="71" t="str">
        <f t="shared" ca="1" si="121"/>
        <v>EXPIRED</v>
      </c>
      <c r="Q105" s="71" t="str">
        <f t="shared" ca="1" si="122"/>
        <v>EXPIRED</v>
      </c>
      <c r="R105" s="66"/>
      <c r="S105" s="9" t="str">
        <f t="shared" ca="1" si="123"/>
        <v>EXPIRED</v>
      </c>
      <c r="T105" s="9" t="str">
        <f t="shared" ca="1" si="149"/>
        <v>EXPIRED</v>
      </c>
      <c r="U105" s="9">
        <f ca="1">+Taxes!L110</f>
        <v>0</v>
      </c>
      <c r="V105" s="9" t="str">
        <f t="shared" ca="1" si="124"/>
        <v>EXPIRED</v>
      </c>
      <c r="W105" s="9" t="e">
        <f t="shared" ca="1" si="150"/>
        <v>#VALUE!</v>
      </c>
      <c r="X105" s="66"/>
      <c r="Y105" s="9" t="str">
        <f t="shared" ca="1" si="125"/>
        <v>EXPIRED</v>
      </c>
      <c r="Z105" s="9" t="str">
        <f t="shared" ca="1" si="126"/>
        <v>--</v>
      </c>
      <c r="AA105" s="9" t="str">
        <f t="shared" ca="1" si="127"/>
        <v>EXPIRED</v>
      </c>
      <c r="AB105" s="9" t="str">
        <f t="shared" ca="1" si="128"/>
        <v>--</v>
      </c>
      <c r="AC105" s="9" t="str">
        <f t="shared" ca="1" si="129"/>
        <v>EXPIRED</v>
      </c>
      <c r="AD105" s="9" t="str">
        <f t="shared" ca="1" si="130"/>
        <v>--</v>
      </c>
      <c r="AE105" s="9" t="str">
        <f t="shared" ca="1" si="110"/>
        <v>EXPIRED</v>
      </c>
      <c r="AF105" s="66"/>
      <c r="AG105" s="9" t="str">
        <f t="shared" ca="1" si="131"/>
        <v>EXPIRED</v>
      </c>
      <c r="AH105" s="9" t="str">
        <f t="shared" ca="1" si="132"/>
        <v>--</v>
      </c>
      <c r="AI105" s="9" t="str">
        <f t="shared" ca="1" si="133"/>
        <v>EXPIRED</v>
      </c>
      <c r="AJ105" s="9" t="str">
        <f t="shared" ca="1" si="134"/>
        <v>--</v>
      </c>
      <c r="AK105" s="9" t="str">
        <f t="shared" ca="1" si="135"/>
        <v>EXPIRED</v>
      </c>
      <c r="AL105" s="9" t="str">
        <f t="shared" ca="1" si="136"/>
        <v>--</v>
      </c>
      <c r="AM105" s="9" t="str">
        <f t="shared" ca="1" si="111"/>
        <v>EXPIRED</v>
      </c>
      <c r="AN105" s="66"/>
      <c r="AO105" s="9" t="str">
        <f t="shared" ca="1" si="137"/>
        <v>EXPIRED</v>
      </c>
      <c r="AP105" s="9" t="str">
        <f t="shared" ca="1" si="138"/>
        <v>--</v>
      </c>
      <c r="AQ105" s="9" t="str">
        <f t="shared" ca="1" si="139"/>
        <v>EXPIRED</v>
      </c>
      <c r="AR105" s="9" t="str">
        <f t="shared" ca="1" si="140"/>
        <v>--</v>
      </c>
      <c r="AS105" s="9" t="str">
        <f t="shared" ca="1" si="141"/>
        <v>EXPIRED</v>
      </c>
      <c r="AT105" s="9" t="str">
        <f t="shared" ca="1" si="142"/>
        <v>--</v>
      </c>
      <c r="AU105" s="9" t="str">
        <f t="shared" ca="1" si="112"/>
        <v>EXPIRED</v>
      </c>
      <c r="AV105" s="66"/>
      <c r="AW105" s="9" t="str">
        <f t="shared" ca="1" si="143"/>
        <v>EXPIRED</v>
      </c>
      <c r="AX105" s="9" t="str">
        <f t="shared" ca="1" si="144"/>
        <v>--</v>
      </c>
      <c r="AY105" s="9" t="str">
        <f t="shared" ca="1" si="145"/>
        <v>EXPIRED</v>
      </c>
      <c r="AZ105" s="9" t="str">
        <f t="shared" ca="1" si="146"/>
        <v>--</v>
      </c>
      <c r="BA105" s="9" t="str">
        <f t="shared" ca="1" si="147"/>
        <v>EXPIRED</v>
      </c>
      <c r="BB105" s="9" t="str">
        <f t="shared" ca="1" si="148"/>
        <v>--</v>
      </c>
      <c r="BC105" s="9" t="str">
        <f t="shared" ca="1" si="113"/>
        <v>EXPIRED</v>
      </c>
      <c r="BD105" s="66"/>
    </row>
    <row r="106" spans="1:56" x14ac:dyDescent="0.25">
      <c r="A106" s="14">
        <f t="shared" si="151"/>
        <v>95</v>
      </c>
      <c r="B106" s="14">
        <f t="shared" si="151"/>
        <v>135</v>
      </c>
      <c r="C106" s="38">
        <f t="shared" si="109"/>
        <v>6.5616991956158399</v>
      </c>
      <c r="D106" s="66"/>
      <c r="E106" s="32" t="str">
        <f t="shared" ca="1" si="115"/>
        <v>EXPIRED</v>
      </c>
      <c r="F106" s="32" t="str">
        <f t="shared" ca="1" si="116"/>
        <v>--</v>
      </c>
      <c r="G106" s="32" t="str">
        <f t="shared" ca="1" si="117"/>
        <v>EXPIRED</v>
      </c>
      <c r="H106" s="32" t="str">
        <f ca="1">IF(Message&lt;&gt;"","--",I106*(1-IF(OR(Income!P105="NA",Income!P105=0),0.2,Income!P105)))</f>
        <v>--</v>
      </c>
      <c r="I106" s="32" t="str">
        <f t="shared" ca="1" si="118"/>
        <v>EXPIRED</v>
      </c>
      <c r="J106" s="66"/>
      <c r="K106" s="74" t="str">
        <f ca="1">IF(Message&lt;&gt;"",Message,Income!M105+Dashboard!I158+Dashboard!K158-Taxes!BR111)</f>
        <v>EXPIRED</v>
      </c>
      <c r="L106" s="74" t="str">
        <f t="shared" ca="1" si="119"/>
        <v>EXPIRED</v>
      </c>
      <c r="M106" s="5" t="str">
        <f t="shared" ca="1" si="120"/>
        <v>EXPIRED</v>
      </c>
      <c r="N106" s="5" t="str">
        <f ca="1">IF(Message&lt;&gt;"",Message,MAX(MIN(Target401K*C106,SUM(Income!D105:J105),W106+K106),-I105)+IF(W106+K106&lt;0,-M106,0))</f>
        <v>EXPIRED</v>
      </c>
      <c r="O106" s="66"/>
      <c r="P106" s="71" t="str">
        <f t="shared" ca="1" si="121"/>
        <v>EXPIRED</v>
      </c>
      <c r="Q106" s="71" t="str">
        <f t="shared" ca="1" si="122"/>
        <v>EXPIRED</v>
      </c>
      <c r="R106" s="66"/>
      <c r="S106" s="9" t="str">
        <f t="shared" ca="1" si="123"/>
        <v>EXPIRED</v>
      </c>
      <c r="T106" s="9" t="str">
        <f t="shared" ca="1" si="149"/>
        <v>EXPIRED</v>
      </c>
      <c r="U106" s="9">
        <f ca="1">+Taxes!L111</f>
        <v>0</v>
      </c>
      <c r="V106" s="9" t="str">
        <f t="shared" ca="1" si="124"/>
        <v>EXPIRED</v>
      </c>
      <c r="W106" s="9" t="e">
        <f t="shared" ca="1" si="150"/>
        <v>#VALUE!</v>
      </c>
      <c r="X106" s="66"/>
      <c r="Y106" s="9" t="str">
        <f t="shared" ca="1" si="125"/>
        <v>EXPIRED</v>
      </c>
      <c r="Z106" s="9" t="str">
        <f t="shared" ca="1" si="126"/>
        <v>--</v>
      </c>
      <c r="AA106" s="9" t="str">
        <f t="shared" ca="1" si="127"/>
        <v>EXPIRED</v>
      </c>
      <c r="AB106" s="9" t="str">
        <f t="shared" ca="1" si="128"/>
        <v>--</v>
      </c>
      <c r="AC106" s="9" t="str">
        <f t="shared" ca="1" si="129"/>
        <v>EXPIRED</v>
      </c>
      <c r="AD106" s="9" t="str">
        <f t="shared" ca="1" si="130"/>
        <v>--</v>
      </c>
      <c r="AE106" s="9" t="str">
        <f t="shared" ca="1" si="110"/>
        <v>EXPIRED</v>
      </c>
      <c r="AF106" s="66"/>
      <c r="AG106" s="9" t="str">
        <f t="shared" ca="1" si="131"/>
        <v>EXPIRED</v>
      </c>
      <c r="AH106" s="9" t="str">
        <f t="shared" ca="1" si="132"/>
        <v>--</v>
      </c>
      <c r="AI106" s="9" t="str">
        <f t="shared" ca="1" si="133"/>
        <v>EXPIRED</v>
      </c>
      <c r="AJ106" s="9" t="str">
        <f t="shared" ca="1" si="134"/>
        <v>--</v>
      </c>
      <c r="AK106" s="9" t="str">
        <f t="shared" ca="1" si="135"/>
        <v>EXPIRED</v>
      </c>
      <c r="AL106" s="9" t="str">
        <f t="shared" ca="1" si="136"/>
        <v>--</v>
      </c>
      <c r="AM106" s="9" t="str">
        <f t="shared" ca="1" si="111"/>
        <v>EXPIRED</v>
      </c>
      <c r="AN106" s="66"/>
      <c r="AO106" s="9" t="str">
        <f t="shared" ca="1" si="137"/>
        <v>EXPIRED</v>
      </c>
      <c r="AP106" s="9" t="str">
        <f t="shared" ca="1" si="138"/>
        <v>--</v>
      </c>
      <c r="AQ106" s="9" t="str">
        <f t="shared" ca="1" si="139"/>
        <v>EXPIRED</v>
      </c>
      <c r="AR106" s="9" t="str">
        <f t="shared" ca="1" si="140"/>
        <v>--</v>
      </c>
      <c r="AS106" s="9" t="str">
        <f t="shared" ca="1" si="141"/>
        <v>EXPIRED</v>
      </c>
      <c r="AT106" s="9" t="str">
        <f t="shared" ca="1" si="142"/>
        <v>--</v>
      </c>
      <c r="AU106" s="9" t="str">
        <f t="shared" ca="1" si="112"/>
        <v>EXPIRED</v>
      </c>
      <c r="AV106" s="66"/>
      <c r="AW106" s="9" t="str">
        <f t="shared" ca="1" si="143"/>
        <v>EXPIRED</v>
      </c>
      <c r="AX106" s="9" t="str">
        <f t="shared" ca="1" si="144"/>
        <v>--</v>
      </c>
      <c r="AY106" s="9" t="str">
        <f t="shared" ca="1" si="145"/>
        <v>EXPIRED</v>
      </c>
      <c r="AZ106" s="9" t="str">
        <f t="shared" ca="1" si="146"/>
        <v>--</v>
      </c>
      <c r="BA106" s="9" t="str">
        <f t="shared" ca="1" si="147"/>
        <v>EXPIRED</v>
      </c>
      <c r="BB106" s="9" t="str">
        <f t="shared" ca="1" si="148"/>
        <v>--</v>
      </c>
      <c r="BC106" s="9" t="str">
        <f t="shared" ca="1" si="113"/>
        <v>EXPIRED</v>
      </c>
      <c r="BD106" s="66"/>
    </row>
    <row r="107" spans="1:56" x14ac:dyDescent="0.25">
      <c r="A107" s="14">
        <f t="shared" si="151"/>
        <v>96</v>
      </c>
      <c r="B107" s="14">
        <f t="shared" si="151"/>
        <v>136</v>
      </c>
      <c r="C107" s="38">
        <f t="shared" si="109"/>
        <v>6.6929331795281577</v>
      </c>
      <c r="D107" s="66"/>
      <c r="E107" s="32" t="str">
        <f t="shared" ca="1" si="115"/>
        <v>EXPIRED</v>
      </c>
      <c r="F107" s="32" t="str">
        <f t="shared" ca="1" si="116"/>
        <v>--</v>
      </c>
      <c r="G107" s="32" t="str">
        <f t="shared" ca="1" si="117"/>
        <v>EXPIRED</v>
      </c>
      <c r="H107" s="32" t="str">
        <f ca="1">IF(Message&lt;&gt;"","--",I107*(1-IF(OR(Income!P106="NA",Income!P106=0),0.2,Income!P106)))</f>
        <v>--</v>
      </c>
      <c r="I107" s="32" t="str">
        <f t="shared" ca="1" si="118"/>
        <v>EXPIRED</v>
      </c>
      <c r="J107" s="66"/>
      <c r="K107" s="74" t="str">
        <f ca="1">IF(Message&lt;&gt;"",Message,Income!M106+Dashboard!I159+Dashboard!K159-Taxes!BR112)</f>
        <v>EXPIRED</v>
      </c>
      <c r="L107" s="74" t="str">
        <f t="shared" ca="1" si="119"/>
        <v>EXPIRED</v>
      </c>
      <c r="M107" s="5" t="str">
        <f t="shared" ca="1" si="120"/>
        <v>EXPIRED</v>
      </c>
      <c r="N107" s="5" t="str">
        <f ca="1">IF(Message&lt;&gt;"",Message,MAX(MIN(Target401K*C107,SUM(Income!D106:J106),W107+K107),-I106)+IF(W107+K107&lt;0,-M107,0))</f>
        <v>EXPIRED</v>
      </c>
      <c r="O107" s="66"/>
      <c r="P107" s="71" t="str">
        <f t="shared" ca="1" si="121"/>
        <v>EXPIRED</v>
      </c>
      <c r="Q107" s="71" t="str">
        <f t="shared" ca="1" si="122"/>
        <v>EXPIRED</v>
      </c>
      <c r="R107" s="66"/>
      <c r="S107" s="9" t="str">
        <f t="shared" ca="1" si="123"/>
        <v>EXPIRED</v>
      </c>
      <c r="T107" s="9" t="str">
        <f t="shared" ca="1" si="149"/>
        <v>EXPIRED</v>
      </c>
      <c r="U107" s="9">
        <f ca="1">+Taxes!L112</f>
        <v>0</v>
      </c>
      <c r="V107" s="9" t="str">
        <f t="shared" ca="1" si="124"/>
        <v>EXPIRED</v>
      </c>
      <c r="W107" s="9" t="e">
        <f t="shared" ca="1" si="150"/>
        <v>#VALUE!</v>
      </c>
      <c r="X107" s="66"/>
      <c r="Y107" s="9" t="str">
        <f t="shared" ca="1" si="125"/>
        <v>EXPIRED</v>
      </c>
      <c r="Z107" s="9" t="str">
        <f t="shared" ca="1" si="126"/>
        <v>--</v>
      </c>
      <c r="AA107" s="9" t="str">
        <f t="shared" ca="1" si="127"/>
        <v>EXPIRED</v>
      </c>
      <c r="AB107" s="9" t="str">
        <f t="shared" ca="1" si="128"/>
        <v>--</v>
      </c>
      <c r="AC107" s="9" t="str">
        <f t="shared" ca="1" si="129"/>
        <v>EXPIRED</v>
      </c>
      <c r="AD107" s="9" t="str">
        <f t="shared" ca="1" si="130"/>
        <v>--</v>
      </c>
      <c r="AE107" s="9" t="str">
        <f t="shared" ca="1" si="110"/>
        <v>EXPIRED</v>
      </c>
      <c r="AF107" s="66"/>
      <c r="AG107" s="9" t="str">
        <f t="shared" ca="1" si="131"/>
        <v>EXPIRED</v>
      </c>
      <c r="AH107" s="9" t="str">
        <f t="shared" ca="1" si="132"/>
        <v>--</v>
      </c>
      <c r="AI107" s="9" t="str">
        <f t="shared" ca="1" si="133"/>
        <v>EXPIRED</v>
      </c>
      <c r="AJ107" s="9" t="str">
        <f t="shared" ca="1" si="134"/>
        <v>--</v>
      </c>
      <c r="AK107" s="9" t="str">
        <f t="shared" ca="1" si="135"/>
        <v>EXPIRED</v>
      </c>
      <c r="AL107" s="9" t="str">
        <f t="shared" ca="1" si="136"/>
        <v>--</v>
      </c>
      <c r="AM107" s="9" t="str">
        <f t="shared" ca="1" si="111"/>
        <v>EXPIRED</v>
      </c>
      <c r="AN107" s="66"/>
      <c r="AO107" s="9" t="str">
        <f t="shared" ca="1" si="137"/>
        <v>EXPIRED</v>
      </c>
      <c r="AP107" s="9" t="str">
        <f t="shared" ca="1" si="138"/>
        <v>--</v>
      </c>
      <c r="AQ107" s="9" t="str">
        <f t="shared" ca="1" si="139"/>
        <v>EXPIRED</v>
      </c>
      <c r="AR107" s="9" t="str">
        <f t="shared" ca="1" si="140"/>
        <v>--</v>
      </c>
      <c r="AS107" s="9" t="str">
        <f t="shared" ca="1" si="141"/>
        <v>EXPIRED</v>
      </c>
      <c r="AT107" s="9" t="str">
        <f t="shared" ca="1" si="142"/>
        <v>--</v>
      </c>
      <c r="AU107" s="9" t="str">
        <f t="shared" ca="1" si="112"/>
        <v>EXPIRED</v>
      </c>
      <c r="AV107" s="66"/>
      <c r="AW107" s="9" t="str">
        <f t="shared" ca="1" si="143"/>
        <v>EXPIRED</v>
      </c>
      <c r="AX107" s="9" t="str">
        <f t="shared" ca="1" si="144"/>
        <v>--</v>
      </c>
      <c r="AY107" s="9" t="str">
        <f t="shared" ca="1" si="145"/>
        <v>EXPIRED</v>
      </c>
      <c r="AZ107" s="9" t="str">
        <f t="shared" ca="1" si="146"/>
        <v>--</v>
      </c>
      <c r="BA107" s="9" t="str">
        <f t="shared" ca="1" si="147"/>
        <v>EXPIRED</v>
      </c>
      <c r="BB107" s="9" t="str">
        <f t="shared" ca="1" si="148"/>
        <v>--</v>
      </c>
      <c r="BC107" s="9" t="str">
        <f t="shared" ca="1" si="113"/>
        <v>EXPIRED</v>
      </c>
      <c r="BD107" s="66"/>
    </row>
    <row r="108" spans="1:56" x14ac:dyDescent="0.25">
      <c r="A108" s="14">
        <f t="shared" si="151"/>
        <v>97</v>
      </c>
      <c r="B108" s="14">
        <f t="shared" si="151"/>
        <v>137</v>
      </c>
      <c r="C108" s="38">
        <f t="shared" si="109"/>
        <v>6.8267918431187216</v>
      </c>
      <c r="D108" s="66"/>
      <c r="E108" s="32" t="str">
        <f t="shared" ca="1" si="115"/>
        <v>EXPIRED</v>
      </c>
      <c r="F108" s="32" t="str">
        <f t="shared" ca="1" si="116"/>
        <v>--</v>
      </c>
      <c r="G108" s="32" t="str">
        <f t="shared" ca="1" si="117"/>
        <v>EXPIRED</v>
      </c>
      <c r="H108" s="32" t="str">
        <f ca="1">IF(Message&lt;&gt;"","--",I108*(1-IF(OR(Income!P107="NA",Income!P107=0),0.2,Income!P107)))</f>
        <v>--</v>
      </c>
      <c r="I108" s="32" t="str">
        <f t="shared" ca="1" si="118"/>
        <v>EXPIRED</v>
      </c>
      <c r="J108" s="66"/>
      <c r="K108" s="74" t="str">
        <f ca="1">IF(Message&lt;&gt;"",Message,Income!M107+Dashboard!I160+Dashboard!K160-Taxes!BR113)</f>
        <v>EXPIRED</v>
      </c>
      <c r="L108" s="74" t="str">
        <f t="shared" ca="1" si="119"/>
        <v>EXPIRED</v>
      </c>
      <c r="M108" s="5" t="str">
        <f t="shared" ca="1" si="120"/>
        <v>EXPIRED</v>
      </c>
      <c r="N108" s="5" t="str">
        <f ca="1">IF(Message&lt;&gt;"",Message,MAX(MIN(Target401K*C108,SUM(Income!D107:J107),W108+K108),-I107)+IF(W108+K108&lt;0,-M108,0))</f>
        <v>EXPIRED</v>
      </c>
      <c r="O108" s="66"/>
      <c r="P108" s="71" t="str">
        <f t="shared" ca="1" si="121"/>
        <v>EXPIRED</v>
      </c>
      <c r="Q108" s="71" t="str">
        <f t="shared" ca="1" si="122"/>
        <v>EXPIRED</v>
      </c>
      <c r="R108" s="66"/>
      <c r="S108" s="9" t="str">
        <f t="shared" ca="1" si="123"/>
        <v>EXPIRED</v>
      </c>
      <c r="T108" s="9" t="str">
        <f t="shared" ca="1" si="149"/>
        <v>EXPIRED</v>
      </c>
      <c r="U108" s="9">
        <f ca="1">+Taxes!L113</f>
        <v>0</v>
      </c>
      <c r="V108" s="9" t="str">
        <f t="shared" ca="1" si="124"/>
        <v>EXPIRED</v>
      </c>
      <c r="W108" s="9" t="e">
        <f t="shared" ca="1" si="150"/>
        <v>#VALUE!</v>
      </c>
      <c r="X108" s="66"/>
      <c r="Y108" s="9" t="str">
        <f t="shared" ca="1" si="125"/>
        <v>EXPIRED</v>
      </c>
      <c r="Z108" s="9" t="str">
        <f t="shared" ca="1" si="126"/>
        <v>--</v>
      </c>
      <c r="AA108" s="9" t="str">
        <f t="shared" ca="1" si="127"/>
        <v>EXPIRED</v>
      </c>
      <c r="AB108" s="9" t="str">
        <f t="shared" ca="1" si="128"/>
        <v>--</v>
      </c>
      <c r="AC108" s="9" t="str">
        <f t="shared" ca="1" si="129"/>
        <v>EXPIRED</v>
      </c>
      <c r="AD108" s="9" t="str">
        <f t="shared" ca="1" si="130"/>
        <v>--</v>
      </c>
      <c r="AE108" s="9" t="str">
        <f t="shared" ref="AE108:AE111" ca="1" si="152">IF(Message&lt;&gt;"",Message,IF(AA108*AD108=0,0,+IF(AB108&lt;0,-AB108/AA108*AD108,0)))</f>
        <v>EXPIRED</v>
      </c>
      <c r="AF108" s="66"/>
      <c r="AG108" s="9" t="str">
        <f t="shared" ca="1" si="131"/>
        <v>EXPIRED</v>
      </c>
      <c r="AH108" s="9" t="str">
        <f t="shared" ca="1" si="132"/>
        <v>--</v>
      </c>
      <c r="AI108" s="9" t="str">
        <f t="shared" ca="1" si="133"/>
        <v>EXPIRED</v>
      </c>
      <c r="AJ108" s="9" t="str">
        <f t="shared" ca="1" si="134"/>
        <v>--</v>
      </c>
      <c r="AK108" s="9" t="str">
        <f t="shared" ca="1" si="135"/>
        <v>EXPIRED</v>
      </c>
      <c r="AL108" s="9" t="str">
        <f t="shared" ca="1" si="136"/>
        <v>--</v>
      </c>
      <c r="AM108" s="9" t="str">
        <f t="shared" ref="AM108:AM111" ca="1" si="153">IF(Message&lt;&gt;"",Message,IF(AI108*AL108=0,0,+IF(AJ108&lt;0,-AJ108/AI108*AL108,0)))</f>
        <v>EXPIRED</v>
      </c>
      <c r="AN108" s="66"/>
      <c r="AO108" s="9" t="str">
        <f t="shared" ca="1" si="137"/>
        <v>EXPIRED</v>
      </c>
      <c r="AP108" s="9" t="str">
        <f t="shared" ca="1" si="138"/>
        <v>--</v>
      </c>
      <c r="AQ108" s="9" t="str">
        <f t="shared" ca="1" si="139"/>
        <v>EXPIRED</v>
      </c>
      <c r="AR108" s="9" t="str">
        <f t="shared" ca="1" si="140"/>
        <v>--</v>
      </c>
      <c r="AS108" s="9" t="str">
        <f t="shared" ca="1" si="141"/>
        <v>EXPIRED</v>
      </c>
      <c r="AT108" s="9" t="str">
        <f t="shared" ca="1" si="142"/>
        <v>--</v>
      </c>
      <c r="AU108" s="9" t="str">
        <f t="shared" ref="AU108:AU111" ca="1" si="154">IF(Message&lt;&gt;"",Message,IF(AQ108*AT108=0,0,+IF(AR108&lt;0,-AR108/AQ108*AT108,0)))</f>
        <v>EXPIRED</v>
      </c>
      <c r="AV108" s="66"/>
      <c r="AW108" s="9" t="str">
        <f t="shared" ca="1" si="143"/>
        <v>EXPIRED</v>
      </c>
      <c r="AX108" s="9" t="str">
        <f t="shared" ca="1" si="144"/>
        <v>--</v>
      </c>
      <c r="AY108" s="9" t="str">
        <f t="shared" ca="1" si="145"/>
        <v>EXPIRED</v>
      </c>
      <c r="AZ108" s="9" t="str">
        <f t="shared" ca="1" si="146"/>
        <v>--</v>
      </c>
      <c r="BA108" s="9" t="str">
        <f t="shared" ca="1" si="147"/>
        <v>EXPIRED</v>
      </c>
      <c r="BB108" s="9" t="str">
        <f t="shared" ca="1" si="148"/>
        <v>--</v>
      </c>
      <c r="BC108" s="9" t="str">
        <f t="shared" ref="BC108:BC111" ca="1" si="155">IF(Message&lt;&gt;"",Message,IF(AY108*BB108=0,0,+IF(AZ108&lt;0,-AZ108/AY108*BB108,0)))</f>
        <v>EXPIRED</v>
      </c>
      <c r="BD108" s="66"/>
    </row>
    <row r="109" spans="1:56" x14ac:dyDescent="0.25">
      <c r="A109" s="14">
        <f t="shared" ref="A109:B111" si="156">+A108+1</f>
        <v>98</v>
      </c>
      <c r="B109" s="14">
        <f t="shared" si="156"/>
        <v>138</v>
      </c>
      <c r="C109" s="38">
        <f t="shared" si="109"/>
        <v>6.963327679981095</v>
      </c>
      <c r="D109" s="66"/>
      <c r="E109" s="32" t="str">
        <f t="shared" ca="1" si="115"/>
        <v>EXPIRED</v>
      </c>
      <c r="F109" s="32" t="str">
        <f t="shared" ca="1" si="116"/>
        <v>--</v>
      </c>
      <c r="G109" s="32" t="str">
        <f t="shared" ca="1" si="117"/>
        <v>EXPIRED</v>
      </c>
      <c r="H109" s="32" t="str">
        <f ca="1">IF(Message&lt;&gt;"","--",I109*(1-IF(OR(Income!P108="NA",Income!P108=0),0.2,Income!P108)))</f>
        <v>--</v>
      </c>
      <c r="I109" s="32" t="str">
        <f t="shared" ca="1" si="118"/>
        <v>EXPIRED</v>
      </c>
      <c r="J109" s="66"/>
      <c r="K109" s="74" t="str">
        <f ca="1">IF(Message&lt;&gt;"",Message,Income!M108+Dashboard!I161+Dashboard!K161-Taxes!BR114)</f>
        <v>EXPIRED</v>
      </c>
      <c r="L109" s="74" t="str">
        <f t="shared" ca="1" si="119"/>
        <v>EXPIRED</v>
      </c>
      <c r="M109" s="5" t="str">
        <f t="shared" ca="1" si="120"/>
        <v>EXPIRED</v>
      </c>
      <c r="N109" s="5" t="str">
        <f ca="1">IF(Message&lt;&gt;"",Message,MAX(MIN(Target401K*C109,SUM(Income!D108:J108),W109+K109),-I108)+IF(W109+K109&lt;0,-M109,0))</f>
        <v>EXPIRED</v>
      </c>
      <c r="O109" s="66"/>
      <c r="P109" s="71" t="str">
        <f t="shared" ca="1" si="121"/>
        <v>EXPIRED</v>
      </c>
      <c r="Q109" s="71" t="str">
        <f t="shared" ca="1" si="122"/>
        <v>EXPIRED</v>
      </c>
      <c r="R109" s="66"/>
      <c r="S109" s="9" t="str">
        <f t="shared" ca="1" si="123"/>
        <v>EXPIRED</v>
      </c>
      <c r="T109" s="9" t="str">
        <f t="shared" ca="1" si="149"/>
        <v>EXPIRED</v>
      </c>
      <c r="U109" s="9">
        <f ca="1">+Taxes!L114</f>
        <v>0</v>
      </c>
      <c r="V109" s="9" t="str">
        <f t="shared" ca="1" si="124"/>
        <v>EXPIRED</v>
      </c>
      <c r="W109" s="9" t="e">
        <f t="shared" ca="1" si="150"/>
        <v>#VALUE!</v>
      </c>
      <c r="X109" s="66"/>
      <c r="Y109" s="9" t="str">
        <f t="shared" ca="1" si="125"/>
        <v>EXPIRED</v>
      </c>
      <c r="Z109" s="9" t="str">
        <f t="shared" ca="1" si="126"/>
        <v>--</v>
      </c>
      <c r="AA109" s="9" t="str">
        <f t="shared" ca="1" si="127"/>
        <v>EXPIRED</v>
      </c>
      <c r="AB109" s="9" t="str">
        <f t="shared" ca="1" si="128"/>
        <v>--</v>
      </c>
      <c r="AC109" s="9" t="str">
        <f t="shared" ca="1" si="129"/>
        <v>EXPIRED</v>
      </c>
      <c r="AD109" s="9" t="str">
        <f t="shared" ca="1" si="130"/>
        <v>--</v>
      </c>
      <c r="AE109" s="9" t="str">
        <f t="shared" ca="1" si="152"/>
        <v>EXPIRED</v>
      </c>
      <c r="AF109" s="66"/>
      <c r="AG109" s="9" t="str">
        <f t="shared" ca="1" si="131"/>
        <v>EXPIRED</v>
      </c>
      <c r="AH109" s="9" t="str">
        <f t="shared" ca="1" si="132"/>
        <v>--</v>
      </c>
      <c r="AI109" s="9" t="str">
        <f t="shared" ca="1" si="133"/>
        <v>EXPIRED</v>
      </c>
      <c r="AJ109" s="9" t="str">
        <f t="shared" ca="1" si="134"/>
        <v>--</v>
      </c>
      <c r="AK109" s="9" t="str">
        <f t="shared" ca="1" si="135"/>
        <v>EXPIRED</v>
      </c>
      <c r="AL109" s="9" t="str">
        <f t="shared" ca="1" si="136"/>
        <v>--</v>
      </c>
      <c r="AM109" s="9" t="str">
        <f t="shared" ca="1" si="153"/>
        <v>EXPIRED</v>
      </c>
      <c r="AN109" s="66"/>
      <c r="AO109" s="9" t="str">
        <f t="shared" ca="1" si="137"/>
        <v>EXPIRED</v>
      </c>
      <c r="AP109" s="9" t="str">
        <f t="shared" ca="1" si="138"/>
        <v>--</v>
      </c>
      <c r="AQ109" s="9" t="str">
        <f t="shared" ca="1" si="139"/>
        <v>EXPIRED</v>
      </c>
      <c r="AR109" s="9" t="str">
        <f t="shared" ca="1" si="140"/>
        <v>--</v>
      </c>
      <c r="AS109" s="9" t="str">
        <f t="shared" ca="1" si="141"/>
        <v>EXPIRED</v>
      </c>
      <c r="AT109" s="9" t="str">
        <f t="shared" ca="1" si="142"/>
        <v>--</v>
      </c>
      <c r="AU109" s="9" t="str">
        <f t="shared" ca="1" si="154"/>
        <v>EXPIRED</v>
      </c>
      <c r="AV109" s="66"/>
      <c r="AW109" s="9" t="str">
        <f t="shared" ca="1" si="143"/>
        <v>EXPIRED</v>
      </c>
      <c r="AX109" s="9" t="str">
        <f t="shared" ca="1" si="144"/>
        <v>--</v>
      </c>
      <c r="AY109" s="9" t="str">
        <f t="shared" ca="1" si="145"/>
        <v>EXPIRED</v>
      </c>
      <c r="AZ109" s="9" t="str">
        <f t="shared" ca="1" si="146"/>
        <v>--</v>
      </c>
      <c r="BA109" s="9" t="str">
        <f t="shared" ca="1" si="147"/>
        <v>EXPIRED</v>
      </c>
      <c r="BB109" s="9" t="str">
        <f t="shared" ca="1" si="148"/>
        <v>--</v>
      </c>
      <c r="BC109" s="9" t="str">
        <f t="shared" ca="1" si="155"/>
        <v>EXPIRED</v>
      </c>
      <c r="BD109" s="66"/>
    </row>
    <row r="110" spans="1:56" x14ac:dyDescent="0.25">
      <c r="A110" s="14">
        <f t="shared" si="156"/>
        <v>99</v>
      </c>
      <c r="B110" s="14">
        <f t="shared" si="156"/>
        <v>139</v>
      </c>
      <c r="C110" s="38">
        <f t="shared" si="109"/>
        <v>7.1025942335807173</v>
      </c>
      <c r="D110" s="66"/>
      <c r="E110" s="32" t="str">
        <f t="shared" ca="1" si="115"/>
        <v>EXPIRED</v>
      </c>
      <c r="F110" s="32" t="str">
        <f t="shared" ca="1" si="116"/>
        <v>--</v>
      </c>
      <c r="G110" s="32" t="str">
        <f t="shared" ca="1" si="117"/>
        <v>EXPIRED</v>
      </c>
      <c r="H110" s="32" t="str">
        <f ca="1">IF(Message&lt;&gt;"","--",I110*(1-IF(OR(Income!P109="NA",Income!P109=0),0.2,Income!P109)))</f>
        <v>--</v>
      </c>
      <c r="I110" s="32" t="str">
        <f t="shared" ca="1" si="118"/>
        <v>EXPIRED</v>
      </c>
      <c r="J110" s="66"/>
      <c r="K110" s="74" t="str">
        <f ca="1">IF(Message&lt;&gt;"",Message,Income!M109+Dashboard!I162+Dashboard!K162-Taxes!BR115)</f>
        <v>EXPIRED</v>
      </c>
      <c r="L110" s="74" t="str">
        <f t="shared" ca="1" si="119"/>
        <v>EXPIRED</v>
      </c>
      <c r="M110" s="5" t="str">
        <f t="shared" ca="1" si="120"/>
        <v>EXPIRED</v>
      </c>
      <c r="N110" s="5" t="str">
        <f ca="1">IF(Message&lt;&gt;"",Message,MAX(MIN(Target401K*C110,SUM(Income!D109:J109),W110+K110),-I109)+IF(W110+K110&lt;0,-M110,0))</f>
        <v>EXPIRED</v>
      </c>
      <c r="O110" s="66"/>
      <c r="P110" s="71" t="str">
        <f t="shared" ca="1" si="121"/>
        <v>EXPIRED</v>
      </c>
      <c r="Q110" s="71" t="str">
        <f t="shared" ca="1" si="122"/>
        <v>EXPIRED</v>
      </c>
      <c r="R110" s="66"/>
      <c r="S110" s="9" t="str">
        <f t="shared" ca="1" si="123"/>
        <v>EXPIRED</v>
      </c>
      <c r="T110" s="9" t="str">
        <f t="shared" ca="1" si="149"/>
        <v>EXPIRED</v>
      </c>
      <c r="U110" s="9">
        <f ca="1">+Taxes!L115</f>
        <v>0</v>
      </c>
      <c r="V110" s="9" t="str">
        <f t="shared" ca="1" si="124"/>
        <v>EXPIRED</v>
      </c>
      <c r="W110" s="9" t="e">
        <f t="shared" ca="1" si="150"/>
        <v>#VALUE!</v>
      </c>
      <c r="X110" s="66"/>
      <c r="Y110" s="9" t="str">
        <f t="shared" ca="1" si="125"/>
        <v>EXPIRED</v>
      </c>
      <c r="Z110" s="9" t="str">
        <f t="shared" ca="1" si="126"/>
        <v>--</v>
      </c>
      <c r="AA110" s="9" t="str">
        <f t="shared" ca="1" si="127"/>
        <v>EXPIRED</v>
      </c>
      <c r="AB110" s="9" t="str">
        <f t="shared" ca="1" si="128"/>
        <v>--</v>
      </c>
      <c r="AC110" s="9" t="str">
        <f t="shared" ca="1" si="129"/>
        <v>EXPIRED</v>
      </c>
      <c r="AD110" s="9" t="str">
        <f t="shared" ca="1" si="130"/>
        <v>--</v>
      </c>
      <c r="AE110" s="9" t="str">
        <f t="shared" ca="1" si="152"/>
        <v>EXPIRED</v>
      </c>
      <c r="AF110" s="66"/>
      <c r="AG110" s="9" t="str">
        <f t="shared" ca="1" si="131"/>
        <v>EXPIRED</v>
      </c>
      <c r="AH110" s="9" t="str">
        <f t="shared" ca="1" si="132"/>
        <v>--</v>
      </c>
      <c r="AI110" s="9" t="str">
        <f t="shared" ca="1" si="133"/>
        <v>EXPIRED</v>
      </c>
      <c r="AJ110" s="9" t="str">
        <f t="shared" ca="1" si="134"/>
        <v>--</v>
      </c>
      <c r="AK110" s="9" t="str">
        <f t="shared" ca="1" si="135"/>
        <v>EXPIRED</v>
      </c>
      <c r="AL110" s="9" t="str">
        <f t="shared" ca="1" si="136"/>
        <v>--</v>
      </c>
      <c r="AM110" s="9" t="str">
        <f t="shared" ca="1" si="153"/>
        <v>EXPIRED</v>
      </c>
      <c r="AN110" s="66"/>
      <c r="AO110" s="9" t="str">
        <f t="shared" ca="1" si="137"/>
        <v>EXPIRED</v>
      </c>
      <c r="AP110" s="9" t="str">
        <f t="shared" ca="1" si="138"/>
        <v>--</v>
      </c>
      <c r="AQ110" s="9" t="str">
        <f t="shared" ca="1" si="139"/>
        <v>EXPIRED</v>
      </c>
      <c r="AR110" s="9" t="str">
        <f t="shared" ca="1" si="140"/>
        <v>--</v>
      </c>
      <c r="AS110" s="9" t="str">
        <f t="shared" ca="1" si="141"/>
        <v>EXPIRED</v>
      </c>
      <c r="AT110" s="9" t="str">
        <f t="shared" ca="1" si="142"/>
        <v>--</v>
      </c>
      <c r="AU110" s="9" t="str">
        <f t="shared" ca="1" si="154"/>
        <v>EXPIRED</v>
      </c>
      <c r="AV110" s="66"/>
      <c r="AW110" s="9" t="str">
        <f t="shared" ca="1" si="143"/>
        <v>EXPIRED</v>
      </c>
      <c r="AX110" s="9" t="str">
        <f t="shared" ca="1" si="144"/>
        <v>--</v>
      </c>
      <c r="AY110" s="9" t="str">
        <f t="shared" ca="1" si="145"/>
        <v>EXPIRED</v>
      </c>
      <c r="AZ110" s="9" t="str">
        <f t="shared" ca="1" si="146"/>
        <v>--</v>
      </c>
      <c r="BA110" s="9" t="str">
        <f t="shared" ca="1" si="147"/>
        <v>EXPIRED</v>
      </c>
      <c r="BB110" s="9" t="str">
        <f t="shared" ca="1" si="148"/>
        <v>--</v>
      </c>
      <c r="BC110" s="9" t="str">
        <f t="shared" ca="1" si="155"/>
        <v>EXPIRED</v>
      </c>
      <c r="BD110" s="66"/>
    </row>
    <row r="111" spans="1:56" x14ac:dyDescent="0.25">
      <c r="A111" s="15">
        <f t="shared" si="156"/>
        <v>100</v>
      </c>
      <c r="B111" s="15">
        <f t="shared" si="156"/>
        <v>140</v>
      </c>
      <c r="C111" s="38">
        <f t="shared" si="109"/>
        <v>7.244646118252331</v>
      </c>
      <c r="D111" s="66"/>
      <c r="E111" s="32" t="str">
        <f t="shared" ca="1" si="115"/>
        <v>EXPIRED</v>
      </c>
      <c r="F111" s="32" t="str">
        <f t="shared" ca="1" si="116"/>
        <v>--</v>
      </c>
      <c r="G111" s="32" t="str">
        <f t="shared" ca="1" si="117"/>
        <v>EXPIRED</v>
      </c>
      <c r="H111" s="32" t="str">
        <f ca="1">IF(Message&lt;&gt;"","--",I111*(1-IF(OR(Income!P110="NA",Income!P110=0),0.2,Income!P110)))</f>
        <v>--</v>
      </c>
      <c r="I111" s="32" t="str">
        <f t="shared" ca="1" si="118"/>
        <v>EXPIRED</v>
      </c>
      <c r="J111" s="66"/>
      <c r="K111" s="74" t="str">
        <f ca="1">IF(Message&lt;&gt;"",Message,Income!M110+Dashboard!I163+Dashboard!K163-Taxes!BR116)</f>
        <v>EXPIRED</v>
      </c>
      <c r="L111" s="74" t="str">
        <f t="shared" ca="1" si="119"/>
        <v>EXPIRED</v>
      </c>
      <c r="M111" s="5" t="str">
        <f t="shared" ca="1" si="120"/>
        <v>EXPIRED</v>
      </c>
      <c r="N111" s="5" t="str">
        <f ca="1">IF(Message&lt;&gt;"",Message,MAX(MIN(Target401K*C111,SUM(Income!D110:J110),W111+K111),-I110)+IF(W111+K111&lt;0,-M111,0))</f>
        <v>EXPIRED</v>
      </c>
      <c r="O111" s="66"/>
      <c r="P111" s="71" t="str">
        <f t="shared" ca="1" si="121"/>
        <v>EXPIRED</v>
      </c>
      <c r="Q111" s="71" t="str">
        <f t="shared" ca="1" si="122"/>
        <v>EXPIRED</v>
      </c>
      <c r="R111" s="66"/>
      <c r="S111" s="9" t="str">
        <f t="shared" ca="1" si="123"/>
        <v>EXPIRED</v>
      </c>
      <c r="T111" s="9" t="str">
        <f t="shared" ca="1" si="149"/>
        <v>EXPIRED</v>
      </c>
      <c r="U111" s="9">
        <f ca="1">+Taxes!L116</f>
        <v>0</v>
      </c>
      <c r="V111" s="9" t="str">
        <f t="shared" ca="1" si="124"/>
        <v>EXPIRED</v>
      </c>
      <c r="W111" s="9" t="e">
        <f t="shared" ca="1" si="150"/>
        <v>#VALUE!</v>
      </c>
      <c r="X111" s="66"/>
      <c r="Y111" s="9" t="str">
        <f t="shared" ca="1" si="125"/>
        <v>EXPIRED</v>
      </c>
      <c r="Z111" s="9" t="str">
        <f t="shared" ca="1" si="126"/>
        <v>--</v>
      </c>
      <c r="AA111" s="9" t="str">
        <f t="shared" ca="1" si="127"/>
        <v>EXPIRED</v>
      </c>
      <c r="AB111" s="9" t="str">
        <f t="shared" ca="1" si="128"/>
        <v>--</v>
      </c>
      <c r="AC111" s="9" t="str">
        <f t="shared" ca="1" si="129"/>
        <v>EXPIRED</v>
      </c>
      <c r="AD111" s="9" t="str">
        <f t="shared" ca="1" si="130"/>
        <v>--</v>
      </c>
      <c r="AE111" s="9" t="str">
        <f t="shared" ca="1" si="152"/>
        <v>EXPIRED</v>
      </c>
      <c r="AF111" s="66"/>
      <c r="AG111" s="9" t="str">
        <f t="shared" ca="1" si="131"/>
        <v>EXPIRED</v>
      </c>
      <c r="AH111" s="9" t="str">
        <f t="shared" ca="1" si="132"/>
        <v>--</v>
      </c>
      <c r="AI111" s="9" t="str">
        <f t="shared" ca="1" si="133"/>
        <v>EXPIRED</v>
      </c>
      <c r="AJ111" s="9" t="str">
        <f t="shared" ca="1" si="134"/>
        <v>--</v>
      </c>
      <c r="AK111" s="9" t="str">
        <f t="shared" ca="1" si="135"/>
        <v>EXPIRED</v>
      </c>
      <c r="AL111" s="9" t="str">
        <f t="shared" ca="1" si="136"/>
        <v>--</v>
      </c>
      <c r="AM111" s="9" t="str">
        <f t="shared" ca="1" si="153"/>
        <v>EXPIRED</v>
      </c>
      <c r="AN111" s="66"/>
      <c r="AO111" s="9" t="str">
        <f t="shared" ca="1" si="137"/>
        <v>EXPIRED</v>
      </c>
      <c r="AP111" s="9" t="str">
        <f t="shared" ca="1" si="138"/>
        <v>--</v>
      </c>
      <c r="AQ111" s="9" t="str">
        <f t="shared" ca="1" si="139"/>
        <v>EXPIRED</v>
      </c>
      <c r="AR111" s="9" t="str">
        <f t="shared" ca="1" si="140"/>
        <v>--</v>
      </c>
      <c r="AS111" s="9" t="str">
        <f t="shared" ca="1" si="141"/>
        <v>EXPIRED</v>
      </c>
      <c r="AT111" s="9" t="str">
        <f t="shared" ca="1" si="142"/>
        <v>--</v>
      </c>
      <c r="AU111" s="9" t="str">
        <f t="shared" ca="1" si="154"/>
        <v>EXPIRED</v>
      </c>
      <c r="AV111" s="66"/>
      <c r="AW111" s="9" t="str">
        <f t="shared" ca="1" si="143"/>
        <v>EXPIRED</v>
      </c>
      <c r="AX111" s="9" t="str">
        <f t="shared" ca="1" si="144"/>
        <v>--</v>
      </c>
      <c r="AY111" s="9" t="str">
        <f t="shared" ca="1" si="145"/>
        <v>EXPIRED</v>
      </c>
      <c r="AZ111" s="9" t="str">
        <f t="shared" ca="1" si="146"/>
        <v>--</v>
      </c>
      <c r="BA111" s="9" t="str">
        <f t="shared" ca="1" si="147"/>
        <v>EXPIRED</v>
      </c>
      <c r="BB111" s="9" t="str">
        <f t="shared" ca="1" si="148"/>
        <v>--</v>
      </c>
      <c r="BC111" s="9" t="str">
        <f t="shared" ca="1" si="155"/>
        <v>EXPIRED</v>
      </c>
      <c r="BD111" s="66"/>
    </row>
  </sheetData>
  <mergeCells count="8">
    <mergeCell ref="AG9:AM9"/>
    <mergeCell ref="AO9:AU9"/>
    <mergeCell ref="AW9:BC9"/>
    <mergeCell ref="E9:I9"/>
    <mergeCell ref="K9:N9"/>
    <mergeCell ref="P9:Q9"/>
    <mergeCell ref="S9:V9"/>
    <mergeCell ref="Y9:AE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120"/>
  <sheetViews>
    <sheetView zoomScaleNormal="100" workbookViewId="0">
      <pane xSplit="3" ySplit="4" topLeftCell="D5" activePane="bottomRight" state="frozen"/>
      <selection pane="topRight" activeCell="D1" sqref="D1"/>
      <selection pane="bottomLeft" activeCell="A5" sqref="A5"/>
      <selection pane="bottomRight" activeCell="D5" sqref="D5"/>
    </sheetView>
  </sheetViews>
  <sheetFormatPr defaultRowHeight="15" x14ac:dyDescent="0.25"/>
  <cols>
    <col min="2" max="3" width="14.28515625" customWidth="1"/>
    <col min="5" max="12" width="14.28515625" customWidth="1"/>
    <col min="14" max="16" width="17.85546875" customWidth="1"/>
    <col min="17" max="17" width="17.85546875" style="49" customWidth="1"/>
    <col min="18" max="19" width="11.42578125" customWidth="1"/>
    <col min="20" max="20" width="13.42578125" customWidth="1"/>
    <col min="21" max="21" width="13.5703125" customWidth="1"/>
    <col min="22" max="24" width="14.28515625" customWidth="1"/>
    <col min="25" max="25" width="17.85546875" customWidth="1"/>
    <col min="27" max="29" width="17.85546875" customWidth="1"/>
    <col min="30" max="30" width="17.85546875" style="49" customWidth="1"/>
    <col min="31" max="32" width="11.42578125" customWidth="1"/>
    <col min="33" max="33" width="13.42578125" customWidth="1"/>
    <col min="34" max="34" width="13.5703125" customWidth="1"/>
    <col min="35" max="37" width="14.28515625" customWidth="1"/>
    <col min="38" max="38" width="17.85546875" customWidth="1"/>
  </cols>
  <sheetData>
    <row r="1" spans="1:39" ht="31.5" x14ac:dyDescent="0.5">
      <c r="A1" s="59" t="s">
        <v>73</v>
      </c>
      <c r="E1" s="265" t="s">
        <v>119</v>
      </c>
      <c r="F1" s="266"/>
      <c r="G1" s="266"/>
      <c r="H1" s="266"/>
      <c r="I1" s="266"/>
      <c r="J1" s="266"/>
      <c r="K1" s="266"/>
      <c r="L1" s="266"/>
      <c r="M1" s="40"/>
      <c r="N1" s="255" t="str">
        <f>+RealEstate!O108</f>
        <v>Current Home</v>
      </c>
      <c r="O1" s="255"/>
      <c r="P1" s="255"/>
      <c r="Q1" s="255"/>
      <c r="R1" s="255"/>
      <c r="S1" s="255"/>
      <c r="T1" s="255"/>
      <c r="U1" s="255"/>
      <c r="V1" s="255"/>
      <c r="W1" s="255"/>
      <c r="X1" s="255"/>
      <c r="Y1" s="255"/>
      <c r="Z1" s="40"/>
      <c r="AA1" s="255" t="str">
        <f>+RealEstate!AB108</f>
        <v>Retirement Home</v>
      </c>
      <c r="AB1" s="255"/>
      <c r="AC1" s="255"/>
      <c r="AD1" s="255"/>
      <c r="AE1" s="255"/>
      <c r="AF1" s="255"/>
      <c r="AG1" s="255"/>
      <c r="AH1" s="255"/>
      <c r="AI1" s="255"/>
      <c r="AJ1" s="255"/>
      <c r="AK1" s="255"/>
      <c r="AL1" s="255"/>
      <c r="AM1" s="40"/>
    </row>
    <row r="2" spans="1:39" x14ac:dyDescent="0.25">
      <c r="B2" s="75" t="s">
        <v>251</v>
      </c>
      <c r="C2" s="235">
        <v>0.06</v>
      </c>
      <c r="M2" s="40"/>
      <c r="Z2" s="40"/>
      <c r="AM2" s="40"/>
    </row>
    <row r="3" spans="1:39" ht="18.75" x14ac:dyDescent="0.3">
      <c r="B3" s="75" t="s">
        <v>252</v>
      </c>
      <c r="C3" s="235">
        <v>1.4999999999999999E-2</v>
      </c>
      <c r="M3" s="40"/>
      <c r="N3" s="256" t="s">
        <v>113</v>
      </c>
      <c r="O3" s="257"/>
      <c r="P3" s="257"/>
      <c r="Q3" s="258"/>
      <c r="R3" s="259" t="s">
        <v>114</v>
      </c>
      <c r="S3" s="260"/>
      <c r="T3" s="260"/>
      <c r="U3" s="261"/>
      <c r="V3" s="262" t="s">
        <v>112</v>
      </c>
      <c r="W3" s="263"/>
      <c r="X3" s="264"/>
      <c r="Y3" s="52" t="s">
        <v>116</v>
      </c>
      <c r="Z3" s="40"/>
      <c r="AA3" s="256" t="s">
        <v>113</v>
      </c>
      <c r="AB3" s="257"/>
      <c r="AC3" s="257"/>
      <c r="AD3" s="258"/>
      <c r="AE3" s="259" t="s">
        <v>114</v>
      </c>
      <c r="AF3" s="260"/>
      <c r="AG3" s="260"/>
      <c r="AH3" s="261"/>
      <c r="AI3" s="262" t="s">
        <v>112</v>
      </c>
      <c r="AJ3" s="263"/>
      <c r="AK3" s="264"/>
      <c r="AL3" s="52" t="s">
        <v>116</v>
      </c>
      <c r="AM3" s="40"/>
    </row>
    <row r="4" spans="1:39" ht="45" x14ac:dyDescent="0.25">
      <c r="A4" s="45" t="s">
        <v>5</v>
      </c>
      <c r="B4" s="45" t="s">
        <v>4</v>
      </c>
      <c r="C4" s="45" t="s">
        <v>84</v>
      </c>
      <c r="E4" s="45" t="s">
        <v>62</v>
      </c>
      <c r="F4" s="45" t="s">
        <v>110</v>
      </c>
      <c r="G4" s="45" t="s">
        <v>48</v>
      </c>
      <c r="H4" s="45" t="s">
        <v>60</v>
      </c>
      <c r="I4" s="45" t="s">
        <v>108</v>
      </c>
      <c r="J4" s="45" t="s">
        <v>107</v>
      </c>
      <c r="K4" s="45" t="s">
        <v>229</v>
      </c>
      <c r="L4" s="45" t="s">
        <v>118</v>
      </c>
      <c r="M4" s="40"/>
      <c r="N4" s="45" t="s">
        <v>47</v>
      </c>
      <c r="O4" s="45" t="s">
        <v>44</v>
      </c>
      <c r="P4" s="45" t="s">
        <v>250</v>
      </c>
      <c r="Q4" s="47" t="s">
        <v>248</v>
      </c>
      <c r="R4" s="46" t="s">
        <v>50</v>
      </c>
      <c r="S4" s="234" t="s">
        <v>8</v>
      </c>
      <c r="T4" s="46" t="s">
        <v>109</v>
      </c>
      <c r="U4" s="50" t="s">
        <v>0</v>
      </c>
      <c r="V4" s="46" t="s">
        <v>49</v>
      </c>
      <c r="W4" s="46" t="s">
        <v>65</v>
      </c>
      <c r="X4" s="47" t="s">
        <v>40</v>
      </c>
      <c r="Y4" s="48" t="s">
        <v>117</v>
      </c>
      <c r="Z4" s="40"/>
      <c r="AA4" s="45" t="s">
        <v>47</v>
      </c>
      <c r="AB4" s="45" t="s">
        <v>44</v>
      </c>
      <c r="AC4" s="45" t="s">
        <v>250</v>
      </c>
      <c r="AD4" s="47" t="s">
        <v>248</v>
      </c>
      <c r="AE4" s="46" t="s">
        <v>50</v>
      </c>
      <c r="AF4" s="234" t="s">
        <v>8</v>
      </c>
      <c r="AG4" s="46" t="s">
        <v>109</v>
      </c>
      <c r="AH4" s="50" t="s">
        <v>0</v>
      </c>
      <c r="AI4" s="46" t="s">
        <v>49</v>
      </c>
      <c r="AJ4" s="46" t="s">
        <v>65</v>
      </c>
      <c r="AK4" s="47" t="s">
        <v>40</v>
      </c>
      <c r="AL4" s="48" t="s">
        <v>117</v>
      </c>
      <c r="AM4" s="40"/>
    </row>
    <row r="5" spans="1:39" ht="14.45" x14ac:dyDescent="0.3">
      <c r="A5" s="14">
        <v>0</v>
      </c>
      <c r="B5" s="14">
        <f>+age+A5</f>
        <v>40</v>
      </c>
      <c r="C5" s="38">
        <f t="shared" ref="C5:C36" si="0">+(1+inflation)^A5</f>
        <v>1</v>
      </c>
      <c r="E5" s="23">
        <f t="shared" ref="E5:E36" si="1">+SUMIF($4:$4,"Equity",5:5)</f>
        <v>140000</v>
      </c>
      <c r="F5" s="14"/>
      <c r="G5" s="14"/>
      <c r="H5" s="22"/>
      <c r="I5" s="14"/>
      <c r="J5" s="14"/>
      <c r="K5" s="22"/>
      <c r="L5" s="22"/>
      <c r="M5" s="40"/>
      <c r="N5" s="20">
        <f>IF(OR($B5&gt;RealEstate!O$112,$B5&lt;RealEstate!O$111),0,RealEstate!O$109*(1+inflation+RealEstate!O$110)^$A5)</f>
        <v>350000</v>
      </c>
      <c r="O5" s="23">
        <f t="shared" ref="O5:O10" si="2">IF(P5&lt;0,0,N5-X5)</f>
        <v>140000</v>
      </c>
      <c r="P5" s="23"/>
      <c r="Q5" s="51"/>
      <c r="R5" s="23"/>
      <c r="S5" s="23"/>
      <c r="T5" s="23"/>
      <c r="U5" s="44"/>
      <c r="V5" s="23"/>
      <c r="W5" s="23"/>
      <c r="X5" s="44">
        <f>+IF(RealEstate!O111&lt;=age,N5*RealEstate!O113,0)</f>
        <v>210000</v>
      </c>
      <c r="Y5" s="20"/>
      <c r="Z5" s="40"/>
      <c r="AA5" s="20">
        <f>IF(OR($B5&gt;RealEstate!AB$112,$B5&lt;RealEstate!AB$111),0,RealEstate!AB$109*(1+inflation+RealEstate!AB$110)^$A5)</f>
        <v>0</v>
      </c>
      <c r="AB5" s="23">
        <f t="shared" ref="AB5:AB10" si="3">IF(AC5&lt;0,0,AA5-AK5)</f>
        <v>0</v>
      </c>
      <c r="AC5" s="23"/>
      <c r="AD5" s="51"/>
      <c r="AE5" s="23"/>
      <c r="AF5" s="23"/>
      <c r="AG5" s="23"/>
      <c r="AH5" s="44"/>
      <c r="AI5" s="23"/>
      <c r="AJ5" s="23"/>
      <c r="AK5" s="44">
        <f>+IF(RealEstate!AB111&lt;=age,AA5*RealEstate!AB113,0)</f>
        <v>0</v>
      </c>
      <c r="AL5" s="20"/>
      <c r="AM5" s="40"/>
    </row>
    <row r="6" spans="1:39" ht="14.45" x14ac:dyDescent="0.3">
      <c r="A6" s="14">
        <f>+A5+1</f>
        <v>1</v>
      </c>
      <c r="B6" s="14">
        <f>+B5+1</f>
        <v>41</v>
      </c>
      <c r="C6" s="38">
        <f t="shared" si="0"/>
        <v>1.02</v>
      </c>
      <c r="E6" s="23">
        <f t="shared" si="1"/>
        <v>150744.32081806887</v>
      </c>
      <c r="F6" s="20">
        <f>+SUMIF($4:$4,"Purchase &amp; Sale After Expenses",6:6)</f>
        <v>0</v>
      </c>
      <c r="G6" s="20">
        <f>+SUMIF($4:$4,"Taxable Capital Gain",6:6)</f>
        <v>0</v>
      </c>
      <c r="H6" s="23">
        <f t="shared" ref="H6:H37" si="4">+SUMIF($4:$4,"Property Tax",6:6)</f>
        <v>5355</v>
      </c>
      <c r="I6" s="20">
        <f t="shared" ref="I6:I37" si="5">+SUMIF($4:$4,"Mortgage Interest",6:6)</f>
        <v>8400</v>
      </c>
      <c r="J6" s="20">
        <f t="shared" ref="J6:J37" si="6">+SUMIF($4:$4,"Mortgage Interest",6:6)+SUMIF($4:$4,"Mortgage Principal",6:6)</f>
        <v>12144.320818068874</v>
      </c>
      <c r="K6" s="23">
        <f t="shared" ref="K6:K31" si="7">+L6+F6</f>
        <v>-27138.320818068874</v>
      </c>
      <c r="L6" s="23">
        <f t="shared" ref="L6:L37" si="8">+SUMIF($4:$4,"Net Cash Flow",6:6)</f>
        <v>-27138.320818068874</v>
      </c>
      <c r="M6" s="40"/>
      <c r="N6" s="20">
        <f>IF(OR($B6&gt;RealEstate!O$112,$B6&lt;RealEstate!O$111),0,RealEstate!O$109*(1+inflation+RealEstate!O$110)^$A6)</f>
        <v>357000</v>
      </c>
      <c r="O6" s="23">
        <f t="shared" si="2"/>
        <v>150744.32081806887</v>
      </c>
      <c r="P6" s="23">
        <f>+IF($B6=RealEstate!O$111,N6*(1+$C$3),0)+IF(B6=RealEstate!O$112,-N6*(1-$C$2),0)</f>
        <v>0</v>
      </c>
      <c r="Q6" s="53">
        <f>+IF(P6&lt;0,MAX(0,N6 - RealEstate!O$109*(1+RealEstate!O$110)^(MAX(age,RealEstate!O$111)-age)-Taxes!$B$11*$C6),0)</f>
        <v>0</v>
      </c>
      <c r="R6" s="43">
        <f>IF(AND(P6&lt;=0,N6&gt;0),+N6*RealEstate!O$117,0)</f>
        <v>5355</v>
      </c>
      <c r="S6" s="23">
        <f>IF(AND(P6&lt;=0,N6&gt;0),+N6*RealEstate!O$118,0)</f>
        <v>714</v>
      </c>
      <c r="T6" s="23">
        <f>IF(AND(P6&lt;=0,N6&gt;0),+RealEstate!O$119*$C6,0)</f>
        <v>5355</v>
      </c>
      <c r="U6" s="44">
        <f>IF(AND(P6&lt;=0,N6&gt;0),+RealEstate!O$120*$C6,0)</f>
        <v>3570</v>
      </c>
      <c r="V6" s="23">
        <f>+X5*RealEstate!O$115</f>
        <v>8400</v>
      </c>
      <c r="W6" s="23">
        <f>+IF(P6&gt;0,-P6*RealEstate!O$113,IF(X5&lt;=0.1,0,IF(N7=0,X5,IF(W5&gt;0,SUM(V5:W5)-V6,X5/100000*O$116-V6))))</f>
        <v>3744.3208180688744</v>
      </c>
      <c r="X6" s="44">
        <f>+IF(P6&gt;0,P6*RealEstate!O$113,X5-W6)</f>
        <v>206255.67918193113</v>
      </c>
      <c r="Y6" s="20">
        <f t="shared" ref="Y6:Y10" si="9">-P6-SUM(V6:W6)-SUM(R6:U6)</f>
        <v>-27138.320818068874</v>
      </c>
      <c r="Z6" s="40"/>
      <c r="AA6" s="20">
        <f>IF(OR($B6&gt;RealEstate!AB$112,$B6&lt;RealEstate!AB$111),0,RealEstate!AB$109*(1+inflation+RealEstate!AB$110)^$A6)</f>
        <v>0</v>
      </c>
      <c r="AB6" s="23">
        <f t="shared" si="3"/>
        <v>0</v>
      </c>
      <c r="AC6" s="23">
        <f>+IF($B6=RealEstate!AB$111,AA6*(1+$C$3),0)+IF(O6=RealEstate!AB$112,-AA6*(1-$C$2),0)</f>
        <v>0</v>
      </c>
      <c r="AD6" s="53">
        <f>+IF(AC6&lt;0,MAX(0,AA6 - RealEstate!AB$109*(1+RealEstate!AB$110)^(MAX(age,RealEstate!AB$111)-age)-Taxes!$B$11*$C6),0)</f>
        <v>0</v>
      </c>
      <c r="AE6" s="43">
        <f>IF(AND(AC6&lt;=0,AA6&gt;0),+AA6*RealEstate!AB$117,0)</f>
        <v>0</v>
      </c>
      <c r="AF6" s="23">
        <f>IF(AND(AC6&lt;=0,AA6&gt;0),+AA6*RealEstate!AB$118,0)</f>
        <v>0</v>
      </c>
      <c r="AG6" s="23">
        <f>IF(AND(AC6&lt;=0,AA6&gt;0),+RealEstate!AB$119*$C6,0)</f>
        <v>0</v>
      </c>
      <c r="AH6" s="44">
        <f>IF(AND(AC6&lt;=0,AA6&gt;0),+RealEstate!AB$120*$C6,0)</f>
        <v>0</v>
      </c>
      <c r="AI6" s="23">
        <f>+AK5*RealEstate!AB$115</f>
        <v>0</v>
      </c>
      <c r="AJ6" s="23">
        <f>+IF(AC6&gt;0,-AC6*RealEstate!AB$113,IF(AK5&lt;=0.1,0,IF(AA7=0,AK5,IF(AJ5&gt;0,SUM(AI5:AJ5)-AI6,AK5/100000*AB$116-AI6))))</f>
        <v>0</v>
      </c>
      <c r="AK6" s="44">
        <f>+IF(AC6&gt;0,AC6*RealEstate!AB$113,AK5-AJ6)</f>
        <v>0</v>
      </c>
      <c r="AL6" s="20">
        <f t="shared" ref="AL6:AL10" si="10">-AC6-SUM(AI6:AJ6)-SUM(AE6:AH6)</f>
        <v>0</v>
      </c>
      <c r="AM6" s="40"/>
    </row>
    <row r="7" spans="1:39" ht="14.45" x14ac:dyDescent="0.3">
      <c r="A7" s="14">
        <f t="shared" ref="A7:B22" si="11">+A6+1</f>
        <v>2</v>
      </c>
      <c r="B7" s="14">
        <f t="shared" si="11"/>
        <v>42</v>
      </c>
      <c r="C7" s="38">
        <f t="shared" si="0"/>
        <v>1.0404</v>
      </c>
      <c r="E7" s="23">
        <f t="shared" si="1"/>
        <v>161778.41446886049</v>
      </c>
      <c r="F7" s="20">
        <f t="shared" ref="F7:F70" si="12">+SUMIF($4:$4,"Purchase &amp; Sale After Expenses",7:7)</f>
        <v>0</v>
      </c>
      <c r="G7" s="20">
        <f t="shared" ref="G7:G70" si="13">+SUMIF($4:$4,"Taxable Capital Gain",7:7)</f>
        <v>0</v>
      </c>
      <c r="H7" s="23">
        <f t="shared" si="4"/>
        <v>5462.0999999999995</v>
      </c>
      <c r="I7" s="20">
        <f t="shared" si="5"/>
        <v>8250.2271672772458</v>
      </c>
      <c r="J7" s="20">
        <f t="shared" si="6"/>
        <v>12144.320818068874</v>
      </c>
      <c r="K7" s="23">
        <f t="shared" si="7"/>
        <v>-27438.200818068872</v>
      </c>
      <c r="L7" s="23">
        <f t="shared" si="8"/>
        <v>-27438.200818068872</v>
      </c>
      <c r="M7" s="40"/>
      <c r="N7" s="20">
        <f>IF(OR($B7&gt;RealEstate!O$112,$B7&lt;RealEstate!O$111),0,RealEstate!O$109*(1+inflation+RealEstate!O$110)^$A7)</f>
        <v>364140</v>
      </c>
      <c r="O7" s="23">
        <f t="shared" si="2"/>
        <v>161778.41446886049</v>
      </c>
      <c r="P7" s="23">
        <f>+IF($B7=RealEstate!O$111,N7*(1+$C$3),0)+IF(B7=RealEstate!O$112,-N7*(1-$C$2),0)</f>
        <v>0</v>
      </c>
      <c r="Q7" s="53">
        <f>+IF(P7&lt;0,MAX(0,N7 - RealEstate!O$109*(1+RealEstate!O$110)^(MAX(age,RealEstate!O$111)-age)-Taxes!$B$11*$C7),0)</f>
        <v>0</v>
      </c>
      <c r="R7" s="43">
        <f>IF(AND(P7&lt;=0,N7&gt;0),+N7*RealEstate!O$117,0)</f>
        <v>5462.0999999999995</v>
      </c>
      <c r="S7" s="23">
        <f>IF(AND(P7&lt;=0,N7&gt;0),+N7*RealEstate!O$118,0)</f>
        <v>728.28</v>
      </c>
      <c r="T7" s="23">
        <f>IF(AND(P7&lt;=0,N7&gt;0),+RealEstate!O$119*$C7,0)</f>
        <v>5462.1</v>
      </c>
      <c r="U7" s="44">
        <f>IF(AND(P7&lt;=0,N7&gt;0),+RealEstate!O$120*$C7,0)</f>
        <v>3641.4</v>
      </c>
      <c r="V7" s="23">
        <f>+X6*RealEstate!O$115</f>
        <v>8250.2271672772458</v>
      </c>
      <c r="W7" s="23">
        <f>+IF(P7&gt;0,-P7*RealEstate!O$113,IF(X6&lt;=0.1,0,IF(N8=0,X6,IF(W6&gt;0,SUM(V6:W6)-V7,X6/100000*O$116-V7))))</f>
        <v>3894.0936507916285</v>
      </c>
      <c r="X7" s="44">
        <f>+IF(P7&gt;0,P7*RealEstate!O$113,X6-W7)</f>
        <v>202361.58553113951</v>
      </c>
      <c r="Y7" s="20">
        <f t="shared" si="9"/>
        <v>-27438.200818068872</v>
      </c>
      <c r="Z7" s="40"/>
      <c r="AA7" s="20">
        <f>IF(OR($B7&gt;RealEstate!AB$112,$B7&lt;RealEstate!AB$111),0,RealEstate!AB$109*(1+inflation+RealEstate!AB$110)^$A7)</f>
        <v>0</v>
      </c>
      <c r="AB7" s="23">
        <f t="shared" si="3"/>
        <v>0</v>
      </c>
      <c r="AC7" s="23">
        <f>+IF($B7=RealEstate!AB$111,AA7*(1+$C$3),0)+IF(O7=RealEstate!AB$112,-AA7*(1-$C$2),0)</f>
        <v>0</v>
      </c>
      <c r="AD7" s="53">
        <f>+IF(AC7&lt;0,MAX(0,AA7 - RealEstate!AB$109*(1+RealEstate!AB$110)^(MAX(age,RealEstate!AB$111)-age)-Taxes!$B$11*$C7),0)</f>
        <v>0</v>
      </c>
      <c r="AE7" s="43">
        <f>IF(AND(AC7&lt;=0,AA7&gt;0),+AA7*RealEstate!AB$117,0)</f>
        <v>0</v>
      </c>
      <c r="AF7" s="23">
        <f>IF(AND(AC7&lt;=0,AA7&gt;0),+AA7*RealEstate!AB$118,0)</f>
        <v>0</v>
      </c>
      <c r="AG7" s="23">
        <f>IF(AND(AC7&lt;=0,AA7&gt;0),+RealEstate!AB$119*$C7,0)</f>
        <v>0</v>
      </c>
      <c r="AH7" s="44">
        <f>IF(AND(AC7&lt;=0,AA7&gt;0),+RealEstate!AB$120*$C7,0)</f>
        <v>0</v>
      </c>
      <c r="AI7" s="23">
        <f>+AK6*RealEstate!AB$115</f>
        <v>0</v>
      </c>
      <c r="AJ7" s="23">
        <f>+IF(AC7&gt;0,-AC7*RealEstate!AB$113,IF(AK6&lt;=0.1,0,IF(AA8=0,AK6,IF(AJ6&gt;0,SUM(AI6:AJ6)-AI7,AK6/100000*AB$116-AI7))))</f>
        <v>0</v>
      </c>
      <c r="AK7" s="44">
        <f>+IF(AC7&gt;0,AC7*RealEstate!AB$113,AK6-AJ7)</f>
        <v>0</v>
      </c>
      <c r="AL7" s="20">
        <f t="shared" si="10"/>
        <v>0</v>
      </c>
      <c r="AM7" s="40"/>
    </row>
    <row r="8" spans="1:39" ht="14.45" x14ac:dyDescent="0.3">
      <c r="A8" s="14">
        <f t="shared" si="11"/>
        <v>3</v>
      </c>
      <c r="B8" s="14">
        <f t="shared" si="11"/>
        <v>43</v>
      </c>
      <c r="C8" s="38">
        <f t="shared" si="0"/>
        <v>1.0612079999999999</v>
      </c>
      <c r="E8" s="23">
        <f t="shared" si="1"/>
        <v>173111.07186568377</v>
      </c>
      <c r="F8" s="20">
        <f t="shared" si="12"/>
        <v>0</v>
      </c>
      <c r="G8" s="20">
        <f t="shared" si="13"/>
        <v>0</v>
      </c>
      <c r="H8" s="23">
        <f t="shared" si="4"/>
        <v>5571.3419999999996</v>
      </c>
      <c r="I8" s="20">
        <f t="shared" si="5"/>
        <v>8094.4634212455803</v>
      </c>
      <c r="J8" s="20">
        <f t="shared" si="6"/>
        <v>12144.320818068874</v>
      </c>
      <c r="K8" s="23">
        <f t="shared" si="7"/>
        <v>-27744.078418068872</v>
      </c>
      <c r="L8" s="23">
        <f t="shared" si="8"/>
        <v>-27744.078418068872</v>
      </c>
      <c r="M8" s="40"/>
      <c r="N8" s="20">
        <f>IF(OR($B8&gt;RealEstate!O$112,$B8&lt;RealEstate!O$111),0,RealEstate!O$109*(1+inflation+RealEstate!O$110)^$A8)</f>
        <v>371422.8</v>
      </c>
      <c r="O8" s="23">
        <f t="shared" si="2"/>
        <v>173111.07186568377</v>
      </c>
      <c r="P8" s="23">
        <f>+IF($B8=RealEstate!O$111,N8*(1+$C$3),0)+IF(B8=RealEstate!O$112,-N8*(1-$C$2),0)</f>
        <v>0</v>
      </c>
      <c r="Q8" s="53">
        <f>+IF(P8&lt;0,MAX(0,N8 - RealEstate!O$109*(1+RealEstate!O$110)^(MAX(age,RealEstate!O$111)-age)-Taxes!$B$11*$C8),0)</f>
        <v>0</v>
      </c>
      <c r="R8" s="43">
        <f>IF(AND(P8&lt;=0,N8&gt;0),+N8*RealEstate!O$117,0)</f>
        <v>5571.3419999999996</v>
      </c>
      <c r="S8" s="23">
        <f>IF(AND(P8&lt;=0,N8&gt;0),+N8*RealEstate!O$118,0)</f>
        <v>742.84559999999999</v>
      </c>
      <c r="T8" s="23">
        <f>IF(AND(P8&lt;=0,N8&gt;0),+RealEstate!O$119*$C8,0)</f>
        <v>5571.3419999999996</v>
      </c>
      <c r="U8" s="44">
        <f>IF(AND(P8&lt;=0,N8&gt;0),+RealEstate!O$120*$C8,0)</f>
        <v>3714.2279999999996</v>
      </c>
      <c r="V8" s="23">
        <f>+X7*RealEstate!O$115</f>
        <v>8094.4634212455803</v>
      </c>
      <c r="W8" s="23">
        <f>+IF(P8&gt;0,-P8*RealEstate!O$113,IF(X7&lt;=0.1,0,IF(N9=0,X7,IF(W7&gt;0,SUM(V7:W7)-V8,X7/100000*O$116-V8))))</f>
        <v>4049.857396823294</v>
      </c>
      <c r="X8" s="44">
        <f>+IF(P8&gt;0,P8*RealEstate!O$113,X7-W8)</f>
        <v>198311.72813431622</v>
      </c>
      <c r="Y8" s="20">
        <f t="shared" si="9"/>
        <v>-27744.078418068872</v>
      </c>
      <c r="Z8" s="40"/>
      <c r="AA8" s="20">
        <f>IF(OR($B8&gt;RealEstate!AB$112,$B8&lt;RealEstate!AB$111),0,RealEstate!AB$109*(1+inflation+RealEstate!AB$110)^$A8)</f>
        <v>0</v>
      </c>
      <c r="AB8" s="23">
        <f t="shared" si="3"/>
        <v>0</v>
      </c>
      <c r="AC8" s="23">
        <f>+IF($B8=RealEstate!AB$111,AA8*(1+$C$3),0)+IF(O8=RealEstate!AB$112,-AA8*(1-$C$2),0)</f>
        <v>0</v>
      </c>
      <c r="AD8" s="53">
        <f>+IF(AC8&lt;0,MAX(0,AA8 - RealEstate!AB$109*(1+RealEstate!AB$110)^(MAX(age,RealEstate!AB$111)-age)-Taxes!$B$11*$C8),0)</f>
        <v>0</v>
      </c>
      <c r="AE8" s="43">
        <f>IF(AND(AC8&lt;=0,AA8&gt;0),+AA8*RealEstate!AB$117,0)</f>
        <v>0</v>
      </c>
      <c r="AF8" s="23">
        <f>IF(AND(AC8&lt;=0,AA8&gt;0),+AA8*RealEstate!AB$118,0)</f>
        <v>0</v>
      </c>
      <c r="AG8" s="23">
        <f>IF(AND(AC8&lt;=0,AA8&gt;0),+RealEstate!AB$119*$C8,0)</f>
        <v>0</v>
      </c>
      <c r="AH8" s="44">
        <f>IF(AND(AC8&lt;=0,AA8&gt;0),+RealEstate!AB$120*$C8,0)</f>
        <v>0</v>
      </c>
      <c r="AI8" s="23">
        <f>+AK7*RealEstate!AB$115</f>
        <v>0</v>
      </c>
      <c r="AJ8" s="23">
        <f>+IF(AC8&gt;0,-AC8*RealEstate!AB$113,IF(AK7&lt;=0.1,0,IF(AA9=0,AK7,IF(AJ7&gt;0,SUM(AI7:AJ7)-AI8,AK7/100000*AB$116-AI8))))</f>
        <v>0</v>
      </c>
      <c r="AK8" s="44">
        <f>+IF(AC8&gt;0,AC8*RealEstate!AB$113,AK7-AJ8)</f>
        <v>0</v>
      </c>
      <c r="AL8" s="20">
        <f t="shared" si="10"/>
        <v>0</v>
      </c>
      <c r="AM8" s="40"/>
    </row>
    <row r="9" spans="1:39" ht="14.45" x14ac:dyDescent="0.3">
      <c r="A9" s="14">
        <f t="shared" si="11"/>
        <v>4</v>
      </c>
      <c r="B9" s="14">
        <f t="shared" si="11"/>
        <v>44</v>
      </c>
      <c r="C9" s="38">
        <f t="shared" si="0"/>
        <v>1.08243216</v>
      </c>
      <c r="E9" s="23">
        <f t="shared" si="1"/>
        <v>184751.37955837999</v>
      </c>
      <c r="F9" s="20">
        <f t="shared" si="12"/>
        <v>0</v>
      </c>
      <c r="G9" s="20">
        <f t="shared" si="13"/>
        <v>0</v>
      </c>
      <c r="H9" s="23">
        <f t="shared" si="4"/>
        <v>5682.7688399999997</v>
      </c>
      <c r="I9" s="20">
        <f t="shared" si="5"/>
        <v>7932.4691253726487</v>
      </c>
      <c r="J9" s="20">
        <f t="shared" si="6"/>
        <v>12144.320818068874</v>
      </c>
      <c r="K9" s="23">
        <f t="shared" si="7"/>
        <v>-28056.073570068875</v>
      </c>
      <c r="L9" s="23">
        <f t="shared" si="8"/>
        <v>-28056.073570068875</v>
      </c>
      <c r="M9" s="40"/>
      <c r="N9" s="20">
        <f>IF(OR($B9&gt;RealEstate!O$112,$B9&lt;RealEstate!O$111),0,RealEstate!O$109*(1+inflation+RealEstate!O$110)^$A9)</f>
        <v>378851.25599999999</v>
      </c>
      <c r="O9" s="23">
        <f t="shared" si="2"/>
        <v>184751.37955837999</v>
      </c>
      <c r="P9" s="23">
        <f>+IF($B9=RealEstate!O$111,N9*(1+$C$3),0)+IF(B9=RealEstate!O$112,-N9*(1-$C$2),0)</f>
        <v>0</v>
      </c>
      <c r="Q9" s="53">
        <f>+IF(P9&lt;0,MAX(0,N9 - RealEstate!O$109*(1+RealEstate!O$110)^(MAX(age,RealEstate!O$111)-age)-Taxes!$B$11*$C9),0)</f>
        <v>0</v>
      </c>
      <c r="R9" s="43">
        <f>IF(AND(P9&lt;=0,N9&gt;0),+N9*RealEstate!O$117,0)</f>
        <v>5682.7688399999997</v>
      </c>
      <c r="S9" s="23">
        <f>IF(AND(P9&lt;=0,N9&gt;0),+N9*RealEstate!O$118,0)</f>
        <v>757.70251199999996</v>
      </c>
      <c r="T9" s="23">
        <f>IF(AND(P9&lt;=0,N9&gt;0),+RealEstate!O$119*$C9,0)</f>
        <v>5682.7688399999997</v>
      </c>
      <c r="U9" s="44">
        <f>IF(AND(P9&lt;=0,N9&gt;0),+RealEstate!O$120*$C9,0)</f>
        <v>3788.5125600000001</v>
      </c>
      <c r="V9" s="23">
        <f>+X8*RealEstate!O$115</f>
        <v>7932.4691253726487</v>
      </c>
      <c r="W9" s="23">
        <f>+IF(P9&gt;0,-P9*RealEstate!O$113,IF(X8&lt;=0.1,0,IF(N10=0,X8,IF(W8&gt;0,SUM(V8:W8)-V9,X8/100000*O$116-V9))))</f>
        <v>4211.8516926962257</v>
      </c>
      <c r="X9" s="44">
        <f>+IF(P9&gt;0,P9*RealEstate!O$113,X8-W9)</f>
        <v>194099.87644162</v>
      </c>
      <c r="Y9" s="20">
        <f t="shared" si="9"/>
        <v>-28056.073570068875</v>
      </c>
      <c r="Z9" s="40"/>
      <c r="AA9" s="20">
        <f>IF(OR($B9&gt;RealEstate!AB$112,$B9&lt;RealEstate!AB$111),0,RealEstate!AB$109*(1+inflation+RealEstate!AB$110)^$A9)</f>
        <v>0</v>
      </c>
      <c r="AB9" s="23">
        <f t="shared" si="3"/>
        <v>0</v>
      </c>
      <c r="AC9" s="23">
        <f>+IF($B9=RealEstate!AB$111,AA9*(1+$C$3),0)+IF(O9=RealEstate!AB$112,-AA9*(1-$C$2),0)</f>
        <v>0</v>
      </c>
      <c r="AD9" s="53">
        <f>+IF(AC9&lt;0,MAX(0,AA9 - RealEstate!AB$109*(1+RealEstate!AB$110)^(MAX(age,RealEstate!AB$111)-age)-Taxes!$B$11*$C9),0)</f>
        <v>0</v>
      </c>
      <c r="AE9" s="43">
        <f>IF(AND(AC9&lt;=0,AA9&gt;0),+AA9*RealEstate!AB$117,0)</f>
        <v>0</v>
      </c>
      <c r="AF9" s="23">
        <f>IF(AND(AC9&lt;=0,AA9&gt;0),+AA9*RealEstate!AB$118,0)</f>
        <v>0</v>
      </c>
      <c r="AG9" s="23">
        <f>IF(AND(AC9&lt;=0,AA9&gt;0),+RealEstate!AB$119*$C9,0)</f>
        <v>0</v>
      </c>
      <c r="AH9" s="44">
        <f>IF(AND(AC9&lt;=0,AA9&gt;0),+RealEstate!AB$120*$C9,0)</f>
        <v>0</v>
      </c>
      <c r="AI9" s="23">
        <f>+AK8*RealEstate!AB$115</f>
        <v>0</v>
      </c>
      <c r="AJ9" s="23">
        <f>+IF(AC9&gt;0,-AC9*RealEstate!AB$113,IF(AK8&lt;=0.1,0,IF(AA10=0,AK8,IF(AJ8&gt;0,SUM(AI8:AJ8)-AI9,AK8/100000*AB$116-AI9))))</f>
        <v>0</v>
      </c>
      <c r="AK9" s="44">
        <f>+IF(AC9&gt;0,AC9*RealEstate!AB$113,AK8-AJ9)</f>
        <v>0</v>
      </c>
      <c r="AL9" s="20">
        <f t="shared" si="10"/>
        <v>0</v>
      </c>
      <c r="AM9" s="40"/>
    </row>
    <row r="10" spans="1:39" ht="14.45" x14ac:dyDescent="0.3">
      <c r="A10" s="14">
        <f t="shared" si="11"/>
        <v>5</v>
      </c>
      <c r="B10" s="14">
        <f t="shared" si="11"/>
        <v>45</v>
      </c>
      <c r="C10" s="38">
        <f t="shared" si="0"/>
        <v>1.1040808032</v>
      </c>
      <c r="E10" s="23">
        <f t="shared" ca="1" si="1"/>
        <v>196708.73043878408</v>
      </c>
      <c r="F10" s="20">
        <f t="shared" ca="1" si="12"/>
        <v>0</v>
      </c>
      <c r="G10" s="20">
        <f t="shared" ca="1" si="13"/>
        <v>0</v>
      </c>
      <c r="H10" s="23">
        <f t="shared" ca="1" si="4"/>
        <v>5796.4242168000001</v>
      </c>
      <c r="I10" s="20">
        <f t="shared" si="5"/>
        <v>7763.9950576647998</v>
      </c>
      <c r="J10" s="20">
        <f t="shared" ca="1" si="6"/>
        <v>12144.320818068874</v>
      </c>
      <c r="K10" s="23">
        <f t="shared" ca="1" si="7"/>
        <v>-28374.308625108875</v>
      </c>
      <c r="L10" s="23">
        <f t="shared" ca="1" si="8"/>
        <v>-28374.308625108875</v>
      </c>
      <c r="M10" s="40"/>
      <c r="N10" s="20">
        <f>IF(OR($B10&gt;RealEstate!O$112,$B10&lt;RealEstate!O$111),0,RealEstate!O$109*(1+inflation+RealEstate!O$110)^$A10)</f>
        <v>386428.28112</v>
      </c>
      <c r="O10" s="23">
        <f t="shared" ca="1" si="2"/>
        <v>196708.73043878408</v>
      </c>
      <c r="P10" s="23">
        <f>+IF($B10=RealEstate!O$111,N10*(1+$C$3),0)+IF(B10=RealEstate!O$112,-N10*(1-$C$2),0)</f>
        <v>0</v>
      </c>
      <c r="Q10" s="53">
        <f>+IF(P10&lt;0,MAX(0,N10 - RealEstate!O$109*(1+RealEstate!O$110)^(MAX(age,RealEstate!O$111)-age)-Taxes!$B$11*$C10),0)</f>
        <v>0</v>
      </c>
      <c r="R10" s="43">
        <f>IF(AND(P10&lt;=0,N10&gt;0),+N10*RealEstate!O$117,0)</f>
        <v>5796.4242168000001</v>
      </c>
      <c r="S10" s="23">
        <f>IF(AND(P10&lt;=0,N10&gt;0),+N10*RealEstate!O$118,0)</f>
        <v>772.85656224000002</v>
      </c>
      <c r="T10" s="23">
        <f>IF(AND(P10&lt;=0,N10&gt;0),+RealEstate!O$119*$C10,0)</f>
        <v>5796.4242168000001</v>
      </c>
      <c r="U10" s="44">
        <f>IF(AND(P10&lt;=0,N10&gt;0),+RealEstate!O$120*$C10,0)</f>
        <v>3864.2828112000002</v>
      </c>
      <c r="V10" s="23">
        <f>+X9*RealEstate!O$115</f>
        <v>7763.9950576647998</v>
      </c>
      <c r="W10" s="23">
        <f ca="1">+IF(P10&gt;0,-P10*RealEstate!O$113,IF(X9&lt;=0.1,0,IF(N11=0,X9,IF(W9&gt;0,SUM(V9:W9)-V10,X9/100000*O$116-V10))))</f>
        <v>4380.3257604040746</v>
      </c>
      <c r="X10" s="44">
        <f ca="1">+IF(P10&gt;0,P10*RealEstate!O$113,X9-W10)</f>
        <v>189719.55068121591</v>
      </c>
      <c r="Y10" s="20">
        <f t="shared" ca="1" si="9"/>
        <v>-28374.308625108875</v>
      </c>
      <c r="Z10" s="40"/>
      <c r="AA10" s="20">
        <f>IF(OR($B10&gt;RealEstate!AB$112,$B10&lt;RealEstate!AB$111),0,RealEstate!AB$109*(1+inflation+RealEstate!AB$110)^$A10)</f>
        <v>0</v>
      </c>
      <c r="AB10" s="23">
        <f t="shared" ca="1" si="3"/>
        <v>0</v>
      </c>
      <c r="AC10" s="23">
        <f ca="1">+IF($B10=RealEstate!AB$111,AA10*(1+$C$3),0)+IF(O10=RealEstate!AB$112,-AA10*(1-$C$2),0)</f>
        <v>0</v>
      </c>
      <c r="AD10" s="53">
        <f ca="1">+IF(AC10&lt;0,MAX(0,AA10 - RealEstate!AB$109*(1+RealEstate!AB$110)^(MAX(age,RealEstate!AB$111)-age)-Taxes!$B$11*$C10),0)</f>
        <v>0</v>
      </c>
      <c r="AE10" s="43">
        <f ca="1">IF(AND(AC10&lt;=0,AA10&gt;0),+AA10*RealEstate!AB$117,0)</f>
        <v>0</v>
      </c>
      <c r="AF10" s="23">
        <f ca="1">IF(AND(AC10&lt;=0,AA10&gt;0),+AA10*RealEstate!AB$118,0)</f>
        <v>0</v>
      </c>
      <c r="AG10" s="23">
        <f ca="1">IF(AND(AC10&lt;=0,AA10&gt;0),+RealEstate!AB$119*$C10,0)</f>
        <v>0</v>
      </c>
      <c r="AH10" s="44">
        <f ca="1">IF(AND(AC10&lt;=0,AA10&gt;0),+RealEstate!AB$120*$C10,0)</f>
        <v>0</v>
      </c>
      <c r="AI10" s="23">
        <f>+AK9*RealEstate!AB$115</f>
        <v>0</v>
      </c>
      <c r="AJ10" s="23">
        <f ca="1">+IF(AC10&gt;0,-AC10*RealEstate!AB$113,IF(AK9&lt;=0.1,0,IF(AA11=0,AK9,IF(AJ9&gt;0,SUM(AI9:AJ9)-AI10,AK9/100000*AB$116-AI10))))</f>
        <v>0</v>
      </c>
      <c r="AK10" s="44">
        <f ca="1">+IF(AC10&gt;0,AC10*RealEstate!AB$113,AK9-AJ10)</f>
        <v>0</v>
      </c>
      <c r="AL10" s="20">
        <f t="shared" ca="1" si="10"/>
        <v>0</v>
      </c>
      <c r="AM10" s="40"/>
    </row>
    <row r="11" spans="1:39" ht="14.45" x14ac:dyDescent="0.3">
      <c r="A11" s="14">
        <f t="shared" si="11"/>
        <v>6</v>
      </c>
      <c r="B11" s="14">
        <f t="shared" si="11"/>
        <v>46</v>
      </c>
      <c r="C11" s="38">
        <f t="shared" si="0"/>
        <v>1.1261624192640001</v>
      </c>
      <c r="E11" s="23">
        <f t="shared" ca="1" si="1"/>
        <v>0</v>
      </c>
      <c r="F11" s="20">
        <f t="shared" ca="1" si="12"/>
        <v>0</v>
      </c>
      <c r="G11" s="20">
        <f t="shared" ca="1" si="13"/>
        <v>0</v>
      </c>
      <c r="H11" s="23">
        <f t="shared" ca="1" si="4"/>
        <v>0</v>
      </c>
      <c r="I11" s="20">
        <f t="shared" ca="1" si="5"/>
        <v>0</v>
      </c>
      <c r="J11" s="20">
        <f t="shared" ca="1" si="6"/>
        <v>0</v>
      </c>
      <c r="K11" s="23">
        <f t="shared" ca="1" si="7"/>
        <v>0</v>
      </c>
      <c r="L11" s="23">
        <f t="shared" ca="1" si="8"/>
        <v>0</v>
      </c>
      <c r="M11" s="40"/>
      <c r="N11" s="20" t="str">
        <f ca="1">IF(Message&lt;&gt;"",Message,IF(OR($B11&gt;RealEstate!O$112,$B11&lt;RealEstate!O$111),0,RealEstate!O$109*(1+inflation+RealEstate!O$110)^$A11))</f>
        <v>EXPIRED</v>
      </c>
      <c r="O11" s="23" t="str">
        <f t="shared" ref="O11:O42" ca="1" si="14">IF(Message&lt;&gt;"",Message,IF(P11&lt;0,0,N11-X11))</f>
        <v>EXPIRED</v>
      </c>
      <c r="P11" s="23" t="str">
        <f ca="1">IF(Message&lt;&gt;"",Message,IF($B11=RealEstate!O$111,N11*(1+$C$3),0)+IF(B11=RealEstate!O$112,-N11*(1-$C$2),0))</f>
        <v>EXPIRED</v>
      </c>
      <c r="Q11" s="53" t="str">
        <f ca="1">IF(Message&lt;&gt;"",Message,+IF(P11&lt;0,MAX(0,N11 - RealEstate!O$109*(1+RealEstate!O$110)^(MAX(age,RealEstate!O$111)-age)-Taxes!$B$11*$C11),0))</f>
        <v>EXPIRED</v>
      </c>
      <c r="R11" s="43" t="str">
        <f ca="1">IF(Message&lt;&gt;"",Message,IF(AND(P11&lt;=0,N11&gt;0),+N11*RealEstate!O$117,0))</f>
        <v>EXPIRED</v>
      </c>
      <c r="S11" s="23" t="str">
        <f ca="1">IF(Message&lt;&gt;"",Message,IF(AND(P11&lt;=0,N11&gt;0),+N11*RealEstate!O$118,0))</f>
        <v>EXPIRED</v>
      </c>
      <c r="T11" s="23" t="str">
        <f ca="1">IF(Message&lt;&gt;"",Message,IF(AND(P11&lt;=0,N11&gt;0),+RealEstate!O$119*$C11,0))</f>
        <v>EXPIRED</v>
      </c>
      <c r="U11" s="44" t="str">
        <f ca="1">IF(Message&lt;&gt;"",Message,IF(AND(P11&lt;=0,N11&gt;0),+RealEstate!O$120*$C11,0))</f>
        <v>EXPIRED</v>
      </c>
      <c r="V11" s="23" t="str">
        <f ca="1">IF(Message&lt;&gt;"",Message,+X10*RealEstate!O$115)</f>
        <v>EXPIRED</v>
      </c>
      <c r="W11" s="23" t="str">
        <f ca="1">IF(Message&lt;&gt;"",Message,+IF(P11&gt;0,-P11*RealEstate!O$113,IF(X10&lt;=0.1,0,IF(N12=0,X10,IF(W10&gt;0,SUM(V10:W10)-V11,X10/100000*O$116-V11)))))</f>
        <v>EXPIRED</v>
      </c>
      <c r="X11" s="44" t="str">
        <f ca="1">IF(Message&lt;&gt;"",Message,+IF(P11&gt;0,P11*RealEstate!O$113,X10-W11))</f>
        <v>EXPIRED</v>
      </c>
      <c r="Y11" s="20" t="str">
        <f t="shared" ref="Y11:Y42" ca="1" si="15">IF(Message&lt;&gt;"",Message,-P11-SUM(V11:W11)-SUM(R11:U11))</f>
        <v>EXPIRED</v>
      </c>
      <c r="Z11" s="40"/>
      <c r="AA11" s="20" t="str">
        <f ca="1">IF(Message&lt;&gt;"",Message,IF(OR($B11&gt;RealEstate!AB$112,$B11&lt;RealEstate!AB$111),0,RealEstate!AB$109*(1+inflation+RealEstate!AB$110)^$A11))</f>
        <v>EXPIRED</v>
      </c>
      <c r="AB11" s="23" t="str">
        <f t="shared" ref="AB11:AB42" ca="1" si="16">IF(Message&lt;&gt;"",Message,IF(AC11&lt;0,0,AA11-AK11))</f>
        <v>EXPIRED</v>
      </c>
      <c r="AC11" s="23" t="str">
        <f ca="1">IF(Message&lt;&gt;"",Message,IF($B11=RealEstate!AB$111,AA11*(1+$C$3),0)+IF(O11=RealEstate!AB$112,-AA11*(1-$C$2),0))</f>
        <v>EXPIRED</v>
      </c>
      <c r="AD11" s="53" t="str">
        <f ca="1">IF(Message&lt;&gt;"",Message,+IF(AC11&lt;0,MAX(0,AA11 - RealEstate!AB$109*(1+RealEstate!AB$110)^(MAX(age,RealEstate!AB$111)-age)-Taxes!$B$11*$C11),0))</f>
        <v>EXPIRED</v>
      </c>
      <c r="AE11" s="43" t="str">
        <f ca="1">IF(Message&lt;&gt;"",Message,IF(AND(AC11&lt;=0,AA11&gt;0),+AA11*RealEstate!AB$117,0))</f>
        <v>EXPIRED</v>
      </c>
      <c r="AF11" s="23" t="str">
        <f ca="1">IF(Message&lt;&gt;"",Message,IF(AND(AC11&lt;=0,AA11&gt;0),+AA11*RealEstate!AB$118,0))</f>
        <v>EXPIRED</v>
      </c>
      <c r="AG11" s="23" t="str">
        <f ca="1">IF(Message&lt;&gt;"",Message,IF(AND(AC11&lt;=0,AA11&gt;0),+RealEstate!AB$119*$C11,0))</f>
        <v>EXPIRED</v>
      </c>
      <c r="AH11" s="44" t="str">
        <f ca="1">IF(Message&lt;&gt;"",Message,IF(AND(AC11&lt;=0,AA11&gt;0),+RealEstate!AB$120*$C11,0))</f>
        <v>EXPIRED</v>
      </c>
      <c r="AI11" s="23" t="str">
        <f ca="1">IF(Message&lt;&gt;"",Message,+AK10*RealEstate!AB$115)</f>
        <v>EXPIRED</v>
      </c>
      <c r="AJ11" s="23" t="str">
        <f ca="1">IF(Message&lt;&gt;"",Message,+IF(AC11&gt;0,-AC11*RealEstate!AB$113,IF(AK10&lt;=0.1,0,IF(AA12=0,AK10,IF(AJ10&gt;0,SUM(AI10:AJ10)-AI11,AK10/100000*AB$116-AI11)))))</f>
        <v>EXPIRED</v>
      </c>
      <c r="AK11" s="44" t="str">
        <f ca="1">IF(Message&lt;&gt;"",Message,+IF(AC11&gt;0,AC11*RealEstate!AB$113,AK10-AJ11))</f>
        <v>EXPIRED</v>
      </c>
      <c r="AL11" s="20" t="str">
        <f t="shared" ref="AL11:AL42" ca="1" si="17">IF(Message&lt;&gt;"",Message,-AC11-SUM(AI11:AJ11)-SUM(AE11:AH11))</f>
        <v>EXPIRED</v>
      </c>
      <c r="AM11" s="40"/>
    </row>
    <row r="12" spans="1:39" ht="14.45" x14ac:dyDescent="0.3">
      <c r="A12" s="14">
        <f t="shared" si="11"/>
        <v>7</v>
      </c>
      <c r="B12" s="14">
        <f t="shared" si="11"/>
        <v>47</v>
      </c>
      <c r="C12" s="38">
        <f t="shared" si="0"/>
        <v>1.1486856676492798</v>
      </c>
      <c r="E12" s="23">
        <f t="shared" ca="1" si="1"/>
        <v>0</v>
      </c>
      <c r="F12" s="20">
        <f t="shared" ca="1" si="12"/>
        <v>0</v>
      </c>
      <c r="G12" s="20">
        <f t="shared" ca="1" si="13"/>
        <v>0</v>
      </c>
      <c r="H12" s="23">
        <f t="shared" ca="1" si="4"/>
        <v>0</v>
      </c>
      <c r="I12" s="20">
        <f t="shared" ca="1" si="5"/>
        <v>0</v>
      </c>
      <c r="J12" s="20">
        <f t="shared" ca="1" si="6"/>
        <v>0</v>
      </c>
      <c r="K12" s="23">
        <f t="shared" ca="1" si="7"/>
        <v>0</v>
      </c>
      <c r="L12" s="23">
        <f t="shared" ca="1" si="8"/>
        <v>0</v>
      </c>
      <c r="M12" s="40"/>
      <c r="N12" s="20" t="str">
        <f ca="1">IF(Message&lt;&gt;"",Message,IF(OR($B12&gt;RealEstate!O$112,$B12&lt;RealEstate!O$111),0,RealEstate!O$109*(1+inflation+RealEstate!O$110)^$A12))</f>
        <v>EXPIRED</v>
      </c>
      <c r="O12" s="23" t="str">
        <f t="shared" ca="1" si="14"/>
        <v>EXPIRED</v>
      </c>
      <c r="P12" s="23" t="str">
        <f ca="1">IF(Message&lt;&gt;"",Message,IF($B12=RealEstate!O$111,N12*(1+$C$3),0)+IF(B12=RealEstate!O$112,-N12*(1-$C$2),0))</f>
        <v>EXPIRED</v>
      </c>
      <c r="Q12" s="53" t="str">
        <f ca="1">IF(Message&lt;&gt;"",Message,+IF(P12&lt;0,MAX(0,N12 - RealEstate!O$109*(1+RealEstate!O$110)^(MAX(age,RealEstate!O$111)-age)-Taxes!$B$11*$C12),0))</f>
        <v>EXPIRED</v>
      </c>
      <c r="R12" s="43" t="str">
        <f ca="1">IF(Message&lt;&gt;"",Message,IF(AND(P12&lt;=0,N12&gt;0),+N12*RealEstate!O$117,0))</f>
        <v>EXPIRED</v>
      </c>
      <c r="S12" s="23" t="str">
        <f ca="1">IF(Message&lt;&gt;"",Message,IF(AND(P12&lt;=0,N12&gt;0),+N12*RealEstate!O$118,0))</f>
        <v>EXPIRED</v>
      </c>
      <c r="T12" s="23" t="str">
        <f ca="1">IF(Message&lt;&gt;"",Message,IF(AND(P12&lt;=0,N12&gt;0),+RealEstate!O$119*$C12,0))</f>
        <v>EXPIRED</v>
      </c>
      <c r="U12" s="44" t="str">
        <f ca="1">IF(Message&lt;&gt;"",Message,IF(AND(P12&lt;=0,N12&gt;0),+RealEstate!O$120*$C12,0))</f>
        <v>EXPIRED</v>
      </c>
      <c r="V12" s="23" t="str">
        <f ca="1">IF(Message&lt;&gt;"",Message,+X11*RealEstate!O$115)</f>
        <v>EXPIRED</v>
      </c>
      <c r="W12" s="23" t="str">
        <f ca="1">IF(Message&lt;&gt;"",Message,+IF(P12&gt;0,-P12*RealEstate!O$113,IF(X11&lt;=0.1,0,IF(N13=0,X11,IF(W11&gt;0,SUM(V11:W11)-V12,X11/100000*O$116-V12)))))</f>
        <v>EXPIRED</v>
      </c>
      <c r="X12" s="44" t="str">
        <f ca="1">IF(Message&lt;&gt;"",Message,+IF(P12&gt;0,P12*RealEstate!O$113,X11-W12))</f>
        <v>EXPIRED</v>
      </c>
      <c r="Y12" s="20" t="str">
        <f t="shared" ca="1" si="15"/>
        <v>EXPIRED</v>
      </c>
      <c r="Z12" s="40"/>
      <c r="AA12" s="20" t="str">
        <f ca="1">IF(Message&lt;&gt;"",Message,IF(OR($B12&gt;RealEstate!AB$112,$B12&lt;RealEstate!AB$111),0,RealEstate!AB$109*(1+inflation+RealEstate!AB$110)^$A12))</f>
        <v>EXPIRED</v>
      </c>
      <c r="AB12" s="23" t="str">
        <f t="shared" ca="1" si="16"/>
        <v>EXPIRED</v>
      </c>
      <c r="AC12" s="23" t="str">
        <f ca="1">IF(Message&lt;&gt;"",Message,IF($B12=RealEstate!AB$111,AA12*(1+$C$3),0)+IF(O12=RealEstate!AB$112,-AA12*(1-$C$2),0))</f>
        <v>EXPIRED</v>
      </c>
      <c r="AD12" s="53" t="str">
        <f ca="1">IF(Message&lt;&gt;"",Message,+IF(AC12&lt;0,MAX(0,AA12 - RealEstate!AB$109*(1+RealEstate!AB$110)^(MAX(age,RealEstate!AB$111)-age)-Taxes!$B$11*$C12),0))</f>
        <v>EXPIRED</v>
      </c>
      <c r="AE12" s="43" t="str">
        <f ca="1">IF(Message&lt;&gt;"",Message,IF(AND(AC12&lt;=0,AA12&gt;0),+AA12*RealEstate!AB$117,0))</f>
        <v>EXPIRED</v>
      </c>
      <c r="AF12" s="23" t="str">
        <f ca="1">IF(Message&lt;&gt;"",Message,IF(AND(AC12&lt;=0,AA12&gt;0),+AA12*RealEstate!AB$118,0))</f>
        <v>EXPIRED</v>
      </c>
      <c r="AG12" s="23" t="str">
        <f ca="1">IF(Message&lt;&gt;"",Message,IF(AND(AC12&lt;=0,AA12&gt;0),+RealEstate!AB$119*$C12,0))</f>
        <v>EXPIRED</v>
      </c>
      <c r="AH12" s="44" t="str">
        <f ca="1">IF(Message&lt;&gt;"",Message,IF(AND(AC12&lt;=0,AA12&gt;0),+RealEstate!AB$120*$C12,0))</f>
        <v>EXPIRED</v>
      </c>
      <c r="AI12" s="23" t="str">
        <f ca="1">IF(Message&lt;&gt;"",Message,+AK11*RealEstate!AB$115)</f>
        <v>EXPIRED</v>
      </c>
      <c r="AJ12" s="23" t="str">
        <f ca="1">IF(Message&lt;&gt;"",Message,+IF(AC12&gt;0,-AC12*RealEstate!AB$113,IF(AK11&lt;=0.1,0,IF(AA13=0,AK11,IF(AJ11&gt;0,SUM(AI11:AJ11)-AI12,AK11/100000*AB$116-AI12)))))</f>
        <v>EXPIRED</v>
      </c>
      <c r="AK12" s="44" t="str">
        <f ca="1">IF(Message&lt;&gt;"",Message,+IF(AC12&gt;0,AC12*RealEstate!AB$113,AK11-AJ12))</f>
        <v>EXPIRED</v>
      </c>
      <c r="AL12" s="20" t="str">
        <f t="shared" ca="1" si="17"/>
        <v>EXPIRED</v>
      </c>
      <c r="AM12" s="40"/>
    </row>
    <row r="13" spans="1:39" ht="14.45" x14ac:dyDescent="0.3">
      <c r="A13" s="14">
        <f t="shared" si="11"/>
        <v>8</v>
      </c>
      <c r="B13" s="14">
        <f t="shared" si="11"/>
        <v>48</v>
      </c>
      <c r="C13" s="38">
        <f t="shared" si="0"/>
        <v>1.1716593810022655</v>
      </c>
      <c r="E13" s="23">
        <f t="shared" ca="1" si="1"/>
        <v>0</v>
      </c>
      <c r="F13" s="20">
        <f t="shared" ca="1" si="12"/>
        <v>0</v>
      </c>
      <c r="G13" s="20">
        <f t="shared" ca="1" si="13"/>
        <v>0</v>
      </c>
      <c r="H13" s="23">
        <f t="shared" ca="1" si="4"/>
        <v>0</v>
      </c>
      <c r="I13" s="20">
        <f t="shared" ca="1" si="5"/>
        <v>0</v>
      </c>
      <c r="J13" s="20">
        <f t="shared" ca="1" si="6"/>
        <v>0</v>
      </c>
      <c r="K13" s="23">
        <f t="shared" ca="1" si="7"/>
        <v>0</v>
      </c>
      <c r="L13" s="23">
        <f t="shared" ca="1" si="8"/>
        <v>0</v>
      </c>
      <c r="M13" s="40"/>
      <c r="N13" s="20" t="str">
        <f ca="1">IF(Message&lt;&gt;"",Message,IF(OR($B13&gt;RealEstate!O$112,$B13&lt;RealEstate!O$111),0,RealEstate!O$109*(1+inflation+RealEstate!O$110)^$A13))</f>
        <v>EXPIRED</v>
      </c>
      <c r="O13" s="23" t="str">
        <f t="shared" ca="1" si="14"/>
        <v>EXPIRED</v>
      </c>
      <c r="P13" s="23" t="str">
        <f ca="1">IF(Message&lt;&gt;"",Message,IF($B13=RealEstate!O$111,N13*(1+$C$3),0)+IF(B13=RealEstate!O$112,-N13*(1-$C$2),0))</f>
        <v>EXPIRED</v>
      </c>
      <c r="Q13" s="53" t="str">
        <f ca="1">IF(Message&lt;&gt;"",Message,+IF(P13&lt;0,MAX(0,N13 - RealEstate!O$109*(1+RealEstate!O$110)^(MAX(age,RealEstate!O$111)-age)-Taxes!$B$11*$C13),0))</f>
        <v>EXPIRED</v>
      </c>
      <c r="R13" s="43" t="str">
        <f ca="1">IF(Message&lt;&gt;"",Message,IF(AND(P13&lt;=0,N13&gt;0),+N13*RealEstate!O$117,0))</f>
        <v>EXPIRED</v>
      </c>
      <c r="S13" s="23" t="str">
        <f ca="1">IF(Message&lt;&gt;"",Message,IF(AND(P13&lt;=0,N13&gt;0),+N13*RealEstate!O$118,0))</f>
        <v>EXPIRED</v>
      </c>
      <c r="T13" s="23" t="str">
        <f ca="1">IF(Message&lt;&gt;"",Message,IF(AND(P13&lt;=0,N13&gt;0),+RealEstate!O$119*$C13,0))</f>
        <v>EXPIRED</v>
      </c>
      <c r="U13" s="44" t="str">
        <f ca="1">IF(Message&lt;&gt;"",Message,IF(AND(P13&lt;=0,N13&gt;0),+RealEstate!O$120*$C13,0))</f>
        <v>EXPIRED</v>
      </c>
      <c r="V13" s="23" t="str">
        <f ca="1">IF(Message&lt;&gt;"",Message,+X12*RealEstate!O$115)</f>
        <v>EXPIRED</v>
      </c>
      <c r="W13" s="23" t="str">
        <f ca="1">IF(Message&lt;&gt;"",Message,+IF(P13&gt;0,-P13*RealEstate!O$113,IF(X12&lt;=0.1,0,IF(N14=0,X12,IF(W12&gt;0,SUM(V12:W12)-V13,X12/100000*O$116-V13)))))</f>
        <v>EXPIRED</v>
      </c>
      <c r="X13" s="44" t="str">
        <f ca="1">IF(Message&lt;&gt;"",Message,+IF(P13&gt;0,P13*RealEstate!O$113,X12-W13))</f>
        <v>EXPIRED</v>
      </c>
      <c r="Y13" s="20" t="str">
        <f t="shared" ca="1" si="15"/>
        <v>EXPIRED</v>
      </c>
      <c r="Z13" s="40"/>
      <c r="AA13" s="20" t="str">
        <f ca="1">IF(Message&lt;&gt;"",Message,IF(OR($B13&gt;RealEstate!AB$112,$B13&lt;RealEstate!AB$111),0,RealEstate!AB$109*(1+inflation+RealEstate!AB$110)^$A13))</f>
        <v>EXPIRED</v>
      </c>
      <c r="AB13" s="23" t="str">
        <f t="shared" ca="1" si="16"/>
        <v>EXPIRED</v>
      </c>
      <c r="AC13" s="23" t="str">
        <f ca="1">IF(Message&lt;&gt;"",Message,IF($B13=RealEstate!AB$111,AA13*(1+$C$3),0)+IF(O13=RealEstate!AB$112,-AA13*(1-$C$2),0))</f>
        <v>EXPIRED</v>
      </c>
      <c r="AD13" s="53" t="str">
        <f ca="1">IF(Message&lt;&gt;"",Message,+IF(AC13&lt;0,MAX(0,AA13 - RealEstate!AB$109*(1+RealEstate!AB$110)^(MAX(age,RealEstate!AB$111)-age)-Taxes!$B$11*$C13),0))</f>
        <v>EXPIRED</v>
      </c>
      <c r="AE13" s="43" t="str">
        <f ca="1">IF(Message&lt;&gt;"",Message,IF(AND(AC13&lt;=0,AA13&gt;0),+AA13*RealEstate!AB$117,0))</f>
        <v>EXPIRED</v>
      </c>
      <c r="AF13" s="23" t="str">
        <f ca="1">IF(Message&lt;&gt;"",Message,IF(AND(AC13&lt;=0,AA13&gt;0),+AA13*RealEstate!AB$118,0))</f>
        <v>EXPIRED</v>
      </c>
      <c r="AG13" s="23" t="str">
        <f ca="1">IF(Message&lt;&gt;"",Message,IF(AND(AC13&lt;=0,AA13&gt;0),+RealEstate!AB$119*$C13,0))</f>
        <v>EXPIRED</v>
      </c>
      <c r="AH13" s="44" t="str">
        <f ca="1">IF(Message&lt;&gt;"",Message,IF(AND(AC13&lt;=0,AA13&gt;0),+RealEstate!AB$120*$C13,0))</f>
        <v>EXPIRED</v>
      </c>
      <c r="AI13" s="23" t="str">
        <f ca="1">IF(Message&lt;&gt;"",Message,+AK12*RealEstate!AB$115)</f>
        <v>EXPIRED</v>
      </c>
      <c r="AJ13" s="23" t="str">
        <f ca="1">IF(Message&lt;&gt;"",Message,+IF(AC13&gt;0,-AC13*RealEstate!AB$113,IF(AK12&lt;=0.1,0,IF(AA14=0,AK12,IF(AJ12&gt;0,SUM(AI12:AJ12)-AI13,AK12/100000*AB$116-AI13)))))</f>
        <v>EXPIRED</v>
      </c>
      <c r="AK13" s="44" t="str">
        <f ca="1">IF(Message&lt;&gt;"",Message,+IF(AC13&gt;0,AC13*RealEstate!AB$113,AK12-AJ13))</f>
        <v>EXPIRED</v>
      </c>
      <c r="AL13" s="20" t="str">
        <f t="shared" ca="1" si="17"/>
        <v>EXPIRED</v>
      </c>
      <c r="AM13" s="40"/>
    </row>
    <row r="14" spans="1:39" ht="14.45" x14ac:dyDescent="0.3">
      <c r="A14" s="14">
        <f t="shared" si="11"/>
        <v>9</v>
      </c>
      <c r="B14" s="14">
        <f t="shared" si="11"/>
        <v>49</v>
      </c>
      <c r="C14" s="38">
        <f t="shared" si="0"/>
        <v>1.1950925686223108</v>
      </c>
      <c r="E14" s="23">
        <f t="shared" ca="1" si="1"/>
        <v>0</v>
      </c>
      <c r="F14" s="20">
        <f t="shared" ca="1" si="12"/>
        <v>0</v>
      </c>
      <c r="G14" s="20">
        <f t="shared" ca="1" si="13"/>
        <v>0</v>
      </c>
      <c r="H14" s="23">
        <f t="shared" ca="1" si="4"/>
        <v>0</v>
      </c>
      <c r="I14" s="20">
        <f t="shared" ca="1" si="5"/>
        <v>0</v>
      </c>
      <c r="J14" s="20">
        <f t="shared" ca="1" si="6"/>
        <v>0</v>
      </c>
      <c r="K14" s="23">
        <f t="shared" ca="1" si="7"/>
        <v>0</v>
      </c>
      <c r="L14" s="23">
        <f t="shared" ca="1" si="8"/>
        <v>0</v>
      </c>
      <c r="M14" s="40"/>
      <c r="N14" s="20" t="str">
        <f ca="1">IF(Message&lt;&gt;"",Message,IF(OR($B14&gt;RealEstate!O$112,$B14&lt;RealEstate!O$111),0,RealEstate!O$109*(1+inflation+RealEstate!O$110)^$A14))</f>
        <v>EXPIRED</v>
      </c>
      <c r="O14" s="23" t="str">
        <f t="shared" ca="1" si="14"/>
        <v>EXPIRED</v>
      </c>
      <c r="P14" s="23" t="str">
        <f ca="1">IF(Message&lt;&gt;"",Message,IF($B14=RealEstate!O$111,N14*(1+$C$3),0)+IF(B14=RealEstate!O$112,-N14*(1-$C$2),0))</f>
        <v>EXPIRED</v>
      </c>
      <c r="Q14" s="53" t="str">
        <f ca="1">IF(Message&lt;&gt;"",Message,+IF(P14&lt;0,MAX(0,N14 - RealEstate!O$109*(1+RealEstate!O$110)^(MAX(age,RealEstate!O$111)-age)-Taxes!$B$11*$C14),0))</f>
        <v>EXPIRED</v>
      </c>
      <c r="R14" s="43" t="str">
        <f ca="1">IF(Message&lt;&gt;"",Message,IF(AND(P14&lt;=0,N14&gt;0),+N14*RealEstate!O$117,0))</f>
        <v>EXPIRED</v>
      </c>
      <c r="S14" s="23" t="str">
        <f ca="1">IF(Message&lt;&gt;"",Message,IF(AND(P14&lt;=0,N14&gt;0),+N14*RealEstate!O$118,0))</f>
        <v>EXPIRED</v>
      </c>
      <c r="T14" s="23" t="str">
        <f ca="1">IF(Message&lt;&gt;"",Message,IF(AND(P14&lt;=0,N14&gt;0),+RealEstate!O$119*$C14,0))</f>
        <v>EXPIRED</v>
      </c>
      <c r="U14" s="44" t="str">
        <f ca="1">IF(Message&lt;&gt;"",Message,IF(AND(P14&lt;=0,N14&gt;0),+RealEstate!O$120*$C14,0))</f>
        <v>EXPIRED</v>
      </c>
      <c r="V14" s="23" t="str">
        <f ca="1">IF(Message&lt;&gt;"",Message,+X13*RealEstate!O$115)</f>
        <v>EXPIRED</v>
      </c>
      <c r="W14" s="23" t="str">
        <f ca="1">IF(Message&lt;&gt;"",Message,+IF(P14&gt;0,-P14*RealEstate!O$113,IF(X13&lt;=0.1,0,IF(N15=0,X13,IF(W13&gt;0,SUM(V13:W13)-V14,X13/100000*O$116-V14)))))</f>
        <v>EXPIRED</v>
      </c>
      <c r="X14" s="44" t="str">
        <f ca="1">IF(Message&lt;&gt;"",Message,+IF(P14&gt;0,P14*RealEstate!O$113,X13-W14))</f>
        <v>EXPIRED</v>
      </c>
      <c r="Y14" s="20" t="str">
        <f t="shared" ca="1" si="15"/>
        <v>EXPIRED</v>
      </c>
      <c r="Z14" s="40"/>
      <c r="AA14" s="20" t="str">
        <f ca="1">IF(Message&lt;&gt;"",Message,IF(OR($B14&gt;RealEstate!AB$112,$B14&lt;RealEstate!AB$111),0,RealEstate!AB$109*(1+inflation+RealEstate!AB$110)^$A14))</f>
        <v>EXPIRED</v>
      </c>
      <c r="AB14" s="23" t="str">
        <f t="shared" ca="1" si="16"/>
        <v>EXPIRED</v>
      </c>
      <c r="AC14" s="23" t="str">
        <f ca="1">IF(Message&lt;&gt;"",Message,IF($B14=RealEstate!AB$111,AA14*(1+$C$3),0)+IF(O14=RealEstate!AB$112,-AA14*(1-$C$2),0))</f>
        <v>EXPIRED</v>
      </c>
      <c r="AD14" s="53" t="str">
        <f ca="1">IF(Message&lt;&gt;"",Message,+IF(AC14&lt;0,MAX(0,AA14 - RealEstate!AB$109*(1+RealEstate!AB$110)^(MAX(age,RealEstate!AB$111)-age)-Taxes!$B$11*$C14),0))</f>
        <v>EXPIRED</v>
      </c>
      <c r="AE14" s="43" t="str">
        <f ca="1">IF(Message&lt;&gt;"",Message,IF(AND(AC14&lt;=0,AA14&gt;0),+AA14*RealEstate!AB$117,0))</f>
        <v>EXPIRED</v>
      </c>
      <c r="AF14" s="23" t="str">
        <f ca="1">IF(Message&lt;&gt;"",Message,IF(AND(AC14&lt;=0,AA14&gt;0),+AA14*RealEstate!AB$118,0))</f>
        <v>EXPIRED</v>
      </c>
      <c r="AG14" s="23" t="str">
        <f ca="1">IF(Message&lt;&gt;"",Message,IF(AND(AC14&lt;=0,AA14&gt;0),+RealEstate!AB$119*$C14,0))</f>
        <v>EXPIRED</v>
      </c>
      <c r="AH14" s="44" t="str">
        <f ca="1">IF(Message&lt;&gt;"",Message,IF(AND(AC14&lt;=0,AA14&gt;0),+RealEstate!AB$120*$C14,0))</f>
        <v>EXPIRED</v>
      </c>
      <c r="AI14" s="23" t="str">
        <f ca="1">IF(Message&lt;&gt;"",Message,+AK13*RealEstate!AB$115)</f>
        <v>EXPIRED</v>
      </c>
      <c r="AJ14" s="23" t="str">
        <f ca="1">IF(Message&lt;&gt;"",Message,+IF(AC14&gt;0,-AC14*RealEstate!AB$113,IF(AK13&lt;=0.1,0,IF(AA15=0,AK13,IF(AJ13&gt;0,SUM(AI13:AJ13)-AI14,AK13/100000*AB$116-AI14)))))</f>
        <v>EXPIRED</v>
      </c>
      <c r="AK14" s="44" t="str">
        <f ca="1">IF(Message&lt;&gt;"",Message,+IF(AC14&gt;0,AC14*RealEstate!AB$113,AK13-AJ14))</f>
        <v>EXPIRED</v>
      </c>
      <c r="AL14" s="20" t="str">
        <f t="shared" ca="1" si="17"/>
        <v>EXPIRED</v>
      </c>
      <c r="AM14" s="40"/>
    </row>
    <row r="15" spans="1:39" ht="14.45" x14ac:dyDescent="0.3">
      <c r="A15" s="14">
        <f t="shared" si="11"/>
        <v>10</v>
      </c>
      <c r="B15" s="14">
        <f t="shared" si="11"/>
        <v>50</v>
      </c>
      <c r="C15" s="38">
        <f t="shared" si="0"/>
        <v>1.2189944199947571</v>
      </c>
      <c r="E15" s="23">
        <f t="shared" ca="1" si="1"/>
        <v>0</v>
      </c>
      <c r="F15" s="20">
        <f t="shared" ca="1" si="12"/>
        <v>0</v>
      </c>
      <c r="G15" s="20">
        <f t="shared" ca="1" si="13"/>
        <v>0</v>
      </c>
      <c r="H15" s="23">
        <f t="shared" ca="1" si="4"/>
        <v>0</v>
      </c>
      <c r="I15" s="20">
        <f t="shared" ca="1" si="5"/>
        <v>0</v>
      </c>
      <c r="J15" s="20">
        <f t="shared" ca="1" si="6"/>
        <v>0</v>
      </c>
      <c r="K15" s="23">
        <f t="shared" ca="1" si="7"/>
        <v>0</v>
      </c>
      <c r="L15" s="23">
        <f t="shared" ca="1" si="8"/>
        <v>0</v>
      </c>
      <c r="M15" s="40"/>
      <c r="N15" s="20" t="str">
        <f ca="1">IF(Message&lt;&gt;"",Message,IF(OR($B15&gt;RealEstate!O$112,$B15&lt;RealEstate!O$111),0,RealEstate!O$109*(1+inflation+RealEstate!O$110)^$A15))</f>
        <v>EXPIRED</v>
      </c>
      <c r="O15" s="23" t="str">
        <f t="shared" ca="1" si="14"/>
        <v>EXPIRED</v>
      </c>
      <c r="P15" s="23" t="str">
        <f ca="1">IF(Message&lt;&gt;"",Message,IF($B15=RealEstate!O$111,N15*(1+$C$3),0)+IF(B15=RealEstate!O$112,-N15*(1-$C$2),0))</f>
        <v>EXPIRED</v>
      </c>
      <c r="Q15" s="53" t="str">
        <f ca="1">IF(Message&lt;&gt;"",Message,+IF(P15&lt;0,MAX(0,N15 - RealEstate!O$109*(1+RealEstate!O$110)^(MAX(age,RealEstate!O$111)-age)-Taxes!$B$11*$C15),0))</f>
        <v>EXPIRED</v>
      </c>
      <c r="R15" s="43" t="str">
        <f ca="1">IF(Message&lt;&gt;"",Message,IF(AND(P15&lt;=0,N15&gt;0),+N15*RealEstate!O$117,0))</f>
        <v>EXPIRED</v>
      </c>
      <c r="S15" s="23" t="str">
        <f ca="1">IF(Message&lt;&gt;"",Message,IF(AND(P15&lt;=0,N15&gt;0),+N15*RealEstate!O$118,0))</f>
        <v>EXPIRED</v>
      </c>
      <c r="T15" s="23" t="str">
        <f ca="1">IF(Message&lt;&gt;"",Message,IF(AND(P15&lt;=0,N15&gt;0),+RealEstate!O$119*$C15,0))</f>
        <v>EXPIRED</v>
      </c>
      <c r="U15" s="44" t="str">
        <f ca="1">IF(Message&lt;&gt;"",Message,IF(AND(P15&lt;=0,N15&gt;0),+RealEstate!O$120*$C15,0))</f>
        <v>EXPIRED</v>
      </c>
      <c r="V15" s="23" t="str">
        <f ca="1">IF(Message&lt;&gt;"",Message,+X14*RealEstate!O$115)</f>
        <v>EXPIRED</v>
      </c>
      <c r="W15" s="23" t="str">
        <f ca="1">IF(Message&lt;&gt;"",Message,+IF(P15&gt;0,-P15*RealEstate!O$113,IF(X14&lt;=0.1,0,IF(N16=0,X14,IF(W14&gt;0,SUM(V14:W14)-V15,X14/100000*O$116-V15)))))</f>
        <v>EXPIRED</v>
      </c>
      <c r="X15" s="44" t="str">
        <f ca="1">IF(Message&lt;&gt;"",Message,+IF(P15&gt;0,P15*RealEstate!O$113,X14-W15))</f>
        <v>EXPIRED</v>
      </c>
      <c r="Y15" s="20" t="str">
        <f t="shared" ca="1" si="15"/>
        <v>EXPIRED</v>
      </c>
      <c r="Z15" s="40"/>
      <c r="AA15" s="20" t="str">
        <f ca="1">IF(Message&lt;&gt;"",Message,IF(OR($B15&gt;RealEstate!AB$112,$B15&lt;RealEstate!AB$111),0,RealEstate!AB$109*(1+inflation+RealEstate!AB$110)^$A15))</f>
        <v>EXPIRED</v>
      </c>
      <c r="AB15" s="23" t="str">
        <f t="shared" ca="1" si="16"/>
        <v>EXPIRED</v>
      </c>
      <c r="AC15" s="23" t="str">
        <f ca="1">IF(Message&lt;&gt;"",Message,IF($B15=RealEstate!AB$111,AA15*(1+$C$3),0)+IF(O15=RealEstate!AB$112,-AA15*(1-$C$2),0))</f>
        <v>EXPIRED</v>
      </c>
      <c r="AD15" s="53" t="str">
        <f ca="1">IF(Message&lt;&gt;"",Message,+IF(AC15&lt;0,MAX(0,AA15 - RealEstate!AB$109*(1+RealEstate!AB$110)^(MAX(age,RealEstate!AB$111)-age)-Taxes!$B$11*$C15),0))</f>
        <v>EXPIRED</v>
      </c>
      <c r="AE15" s="43" t="str">
        <f ca="1">IF(Message&lt;&gt;"",Message,IF(AND(AC15&lt;=0,AA15&gt;0),+AA15*RealEstate!AB$117,0))</f>
        <v>EXPIRED</v>
      </c>
      <c r="AF15" s="23" t="str">
        <f ca="1">IF(Message&lt;&gt;"",Message,IF(AND(AC15&lt;=0,AA15&gt;0),+AA15*RealEstate!AB$118,0))</f>
        <v>EXPIRED</v>
      </c>
      <c r="AG15" s="23" t="str">
        <f ca="1">IF(Message&lt;&gt;"",Message,IF(AND(AC15&lt;=0,AA15&gt;0),+RealEstate!AB$119*$C15,0))</f>
        <v>EXPIRED</v>
      </c>
      <c r="AH15" s="44" t="str">
        <f ca="1">IF(Message&lt;&gt;"",Message,IF(AND(AC15&lt;=0,AA15&gt;0),+RealEstate!AB$120*$C15,0))</f>
        <v>EXPIRED</v>
      </c>
      <c r="AI15" s="23" t="str">
        <f ca="1">IF(Message&lt;&gt;"",Message,+AK14*RealEstate!AB$115)</f>
        <v>EXPIRED</v>
      </c>
      <c r="AJ15" s="23" t="str">
        <f ca="1">IF(Message&lt;&gt;"",Message,+IF(AC15&gt;0,-AC15*RealEstate!AB$113,IF(AK14&lt;=0.1,0,IF(AA16=0,AK14,IF(AJ14&gt;0,SUM(AI14:AJ14)-AI15,AK14/100000*AB$116-AI15)))))</f>
        <v>EXPIRED</v>
      </c>
      <c r="AK15" s="44" t="str">
        <f ca="1">IF(Message&lt;&gt;"",Message,+IF(AC15&gt;0,AC15*RealEstate!AB$113,AK14-AJ15))</f>
        <v>EXPIRED</v>
      </c>
      <c r="AL15" s="20" t="str">
        <f t="shared" ca="1" si="17"/>
        <v>EXPIRED</v>
      </c>
      <c r="AM15" s="40"/>
    </row>
    <row r="16" spans="1:39" ht="14.45" x14ac:dyDescent="0.3">
      <c r="A16" s="14">
        <f t="shared" si="11"/>
        <v>11</v>
      </c>
      <c r="B16" s="14">
        <f t="shared" si="11"/>
        <v>51</v>
      </c>
      <c r="C16" s="38">
        <f t="shared" si="0"/>
        <v>1.243374308394652</v>
      </c>
      <c r="E16" s="23">
        <f t="shared" ca="1" si="1"/>
        <v>0</v>
      </c>
      <c r="F16" s="20">
        <f t="shared" ca="1" si="12"/>
        <v>0</v>
      </c>
      <c r="G16" s="20">
        <f t="shared" ca="1" si="13"/>
        <v>0</v>
      </c>
      <c r="H16" s="23">
        <f t="shared" ca="1" si="4"/>
        <v>0</v>
      </c>
      <c r="I16" s="20">
        <f t="shared" ca="1" si="5"/>
        <v>0</v>
      </c>
      <c r="J16" s="20">
        <f t="shared" ca="1" si="6"/>
        <v>0</v>
      </c>
      <c r="K16" s="23">
        <f t="shared" ca="1" si="7"/>
        <v>0</v>
      </c>
      <c r="L16" s="23">
        <f t="shared" ca="1" si="8"/>
        <v>0</v>
      </c>
      <c r="M16" s="40"/>
      <c r="N16" s="20" t="str">
        <f ca="1">IF(Message&lt;&gt;"",Message,IF(OR($B16&gt;RealEstate!O$112,$B16&lt;RealEstate!O$111),0,RealEstate!O$109*(1+inflation+RealEstate!O$110)^$A16))</f>
        <v>EXPIRED</v>
      </c>
      <c r="O16" s="23" t="str">
        <f t="shared" ca="1" si="14"/>
        <v>EXPIRED</v>
      </c>
      <c r="P16" s="23" t="str">
        <f ca="1">IF(Message&lt;&gt;"",Message,IF($B16=RealEstate!O$111,N16*(1+$C$3),0)+IF(B16=RealEstate!O$112,-N16*(1-$C$2),0))</f>
        <v>EXPIRED</v>
      </c>
      <c r="Q16" s="53" t="str">
        <f ca="1">IF(Message&lt;&gt;"",Message,+IF(P16&lt;0,MAX(0,N16 - RealEstate!O$109*(1+RealEstate!O$110)^(MAX(age,RealEstate!O$111)-age)-Taxes!$B$11*$C16),0))</f>
        <v>EXPIRED</v>
      </c>
      <c r="R16" s="43" t="str">
        <f ca="1">IF(Message&lt;&gt;"",Message,IF(AND(P16&lt;=0,N16&gt;0),+N16*RealEstate!O$117,0))</f>
        <v>EXPIRED</v>
      </c>
      <c r="S16" s="23" t="str">
        <f ca="1">IF(Message&lt;&gt;"",Message,IF(AND(P16&lt;=0,N16&gt;0),+N16*RealEstate!O$118,0))</f>
        <v>EXPIRED</v>
      </c>
      <c r="T16" s="23" t="str">
        <f ca="1">IF(Message&lt;&gt;"",Message,IF(AND(P16&lt;=0,N16&gt;0),+RealEstate!O$119*$C16,0))</f>
        <v>EXPIRED</v>
      </c>
      <c r="U16" s="44" t="str">
        <f ca="1">IF(Message&lt;&gt;"",Message,IF(AND(P16&lt;=0,N16&gt;0),+RealEstate!O$120*$C16,0))</f>
        <v>EXPIRED</v>
      </c>
      <c r="V16" s="23" t="str">
        <f ca="1">IF(Message&lt;&gt;"",Message,+X15*RealEstate!O$115)</f>
        <v>EXPIRED</v>
      </c>
      <c r="W16" s="23" t="str">
        <f ca="1">IF(Message&lt;&gt;"",Message,+IF(P16&gt;0,-P16*RealEstate!O$113,IF(X15&lt;=0.1,0,IF(N17=0,X15,IF(W15&gt;0,SUM(V15:W15)-V16,X15/100000*O$116-V16)))))</f>
        <v>EXPIRED</v>
      </c>
      <c r="X16" s="44" t="str">
        <f ca="1">IF(Message&lt;&gt;"",Message,+IF(P16&gt;0,P16*RealEstate!O$113,X15-W16))</f>
        <v>EXPIRED</v>
      </c>
      <c r="Y16" s="20" t="str">
        <f t="shared" ca="1" si="15"/>
        <v>EXPIRED</v>
      </c>
      <c r="Z16" s="40"/>
      <c r="AA16" s="20" t="str">
        <f ca="1">IF(Message&lt;&gt;"",Message,IF(OR($B16&gt;RealEstate!AB$112,$B16&lt;RealEstate!AB$111),0,RealEstate!AB$109*(1+inflation+RealEstate!AB$110)^$A16))</f>
        <v>EXPIRED</v>
      </c>
      <c r="AB16" s="23" t="str">
        <f t="shared" ca="1" si="16"/>
        <v>EXPIRED</v>
      </c>
      <c r="AC16" s="23" t="str">
        <f ca="1">IF(Message&lt;&gt;"",Message,IF($B16=RealEstate!AB$111,AA16*(1+$C$3),0)+IF(O16=RealEstate!AB$112,-AA16*(1-$C$2),0))</f>
        <v>EXPIRED</v>
      </c>
      <c r="AD16" s="53" t="str">
        <f ca="1">IF(Message&lt;&gt;"",Message,+IF(AC16&lt;0,MAX(0,AA16 - RealEstate!AB$109*(1+RealEstate!AB$110)^(MAX(age,RealEstate!AB$111)-age)-Taxes!$B$11*$C16),0))</f>
        <v>EXPIRED</v>
      </c>
      <c r="AE16" s="43" t="str">
        <f ca="1">IF(Message&lt;&gt;"",Message,IF(AND(AC16&lt;=0,AA16&gt;0),+AA16*RealEstate!AB$117,0))</f>
        <v>EXPIRED</v>
      </c>
      <c r="AF16" s="23" t="str">
        <f ca="1">IF(Message&lt;&gt;"",Message,IF(AND(AC16&lt;=0,AA16&gt;0),+AA16*RealEstate!AB$118,0))</f>
        <v>EXPIRED</v>
      </c>
      <c r="AG16" s="23" t="str">
        <f ca="1">IF(Message&lt;&gt;"",Message,IF(AND(AC16&lt;=0,AA16&gt;0),+RealEstate!AB$119*$C16,0))</f>
        <v>EXPIRED</v>
      </c>
      <c r="AH16" s="44" t="str">
        <f ca="1">IF(Message&lt;&gt;"",Message,IF(AND(AC16&lt;=0,AA16&gt;0),+RealEstate!AB$120*$C16,0))</f>
        <v>EXPIRED</v>
      </c>
      <c r="AI16" s="23" t="str">
        <f ca="1">IF(Message&lt;&gt;"",Message,+AK15*RealEstate!AB$115)</f>
        <v>EXPIRED</v>
      </c>
      <c r="AJ16" s="23" t="str">
        <f ca="1">IF(Message&lt;&gt;"",Message,+IF(AC16&gt;0,-AC16*RealEstate!AB$113,IF(AK15&lt;=0.1,0,IF(AA17=0,AK15,IF(AJ15&gt;0,SUM(AI15:AJ15)-AI16,AK15/100000*AB$116-AI16)))))</f>
        <v>EXPIRED</v>
      </c>
      <c r="AK16" s="44" t="str">
        <f ca="1">IF(Message&lt;&gt;"",Message,+IF(AC16&gt;0,AC16*RealEstate!AB$113,AK15-AJ16))</f>
        <v>EXPIRED</v>
      </c>
      <c r="AL16" s="20" t="str">
        <f t="shared" ca="1" si="17"/>
        <v>EXPIRED</v>
      </c>
      <c r="AM16" s="40"/>
    </row>
    <row r="17" spans="1:39" ht="14.45" x14ac:dyDescent="0.3">
      <c r="A17" s="14">
        <f t="shared" si="11"/>
        <v>12</v>
      </c>
      <c r="B17" s="14">
        <f t="shared" si="11"/>
        <v>52</v>
      </c>
      <c r="C17" s="38">
        <f t="shared" si="0"/>
        <v>1.2682417945625453</v>
      </c>
      <c r="E17" s="23">
        <f t="shared" ca="1" si="1"/>
        <v>0</v>
      </c>
      <c r="F17" s="20">
        <f t="shared" ca="1" si="12"/>
        <v>0</v>
      </c>
      <c r="G17" s="20">
        <f t="shared" ca="1" si="13"/>
        <v>0</v>
      </c>
      <c r="H17" s="23">
        <f t="shared" ca="1" si="4"/>
        <v>0</v>
      </c>
      <c r="I17" s="20">
        <f t="shared" ca="1" si="5"/>
        <v>0</v>
      </c>
      <c r="J17" s="20">
        <f t="shared" ca="1" si="6"/>
        <v>0</v>
      </c>
      <c r="K17" s="23">
        <f t="shared" ca="1" si="7"/>
        <v>0</v>
      </c>
      <c r="L17" s="23">
        <f t="shared" ca="1" si="8"/>
        <v>0</v>
      </c>
      <c r="M17" s="40"/>
      <c r="N17" s="20" t="str">
        <f ca="1">IF(Message&lt;&gt;"",Message,IF(OR($B17&gt;RealEstate!O$112,$B17&lt;RealEstate!O$111),0,RealEstate!O$109*(1+inflation+RealEstate!O$110)^$A17))</f>
        <v>EXPIRED</v>
      </c>
      <c r="O17" s="23" t="str">
        <f t="shared" ca="1" si="14"/>
        <v>EXPIRED</v>
      </c>
      <c r="P17" s="23" t="str">
        <f ca="1">IF(Message&lt;&gt;"",Message,IF($B17=RealEstate!O$111,N17*(1+$C$3),0)+IF(B17=RealEstate!O$112,-N17*(1-$C$2),0))</f>
        <v>EXPIRED</v>
      </c>
      <c r="Q17" s="53" t="str">
        <f ca="1">IF(Message&lt;&gt;"",Message,+IF(P17&lt;0,MAX(0,N17 - RealEstate!O$109*(1+RealEstate!O$110)^(MAX(age,RealEstate!O$111)-age)-Taxes!$B$11*$C17),0))</f>
        <v>EXPIRED</v>
      </c>
      <c r="R17" s="43" t="str">
        <f ca="1">IF(Message&lt;&gt;"",Message,IF(AND(P17&lt;=0,N17&gt;0),+N17*RealEstate!O$117,0))</f>
        <v>EXPIRED</v>
      </c>
      <c r="S17" s="23" t="str">
        <f ca="1">IF(Message&lt;&gt;"",Message,IF(AND(P17&lt;=0,N17&gt;0),+N17*RealEstate!O$118,0))</f>
        <v>EXPIRED</v>
      </c>
      <c r="T17" s="23" t="str">
        <f ca="1">IF(Message&lt;&gt;"",Message,IF(AND(P17&lt;=0,N17&gt;0),+RealEstate!O$119*$C17,0))</f>
        <v>EXPIRED</v>
      </c>
      <c r="U17" s="44" t="str">
        <f ca="1">IF(Message&lt;&gt;"",Message,IF(AND(P17&lt;=0,N17&gt;0),+RealEstate!O$120*$C17,0))</f>
        <v>EXPIRED</v>
      </c>
      <c r="V17" s="23" t="str">
        <f ca="1">IF(Message&lt;&gt;"",Message,+X16*RealEstate!O$115)</f>
        <v>EXPIRED</v>
      </c>
      <c r="W17" s="23" t="str">
        <f ca="1">IF(Message&lt;&gt;"",Message,+IF(P17&gt;0,-P17*RealEstate!O$113,IF(X16&lt;=0.1,0,IF(N18=0,X16,IF(W16&gt;0,SUM(V16:W16)-V17,X16/100000*O$116-V17)))))</f>
        <v>EXPIRED</v>
      </c>
      <c r="X17" s="44" t="str">
        <f ca="1">IF(Message&lt;&gt;"",Message,+IF(P17&gt;0,P17*RealEstate!O$113,X16-W17))</f>
        <v>EXPIRED</v>
      </c>
      <c r="Y17" s="20" t="str">
        <f t="shared" ca="1" si="15"/>
        <v>EXPIRED</v>
      </c>
      <c r="Z17" s="40"/>
      <c r="AA17" s="20" t="str">
        <f ca="1">IF(Message&lt;&gt;"",Message,IF(OR($B17&gt;RealEstate!AB$112,$B17&lt;RealEstate!AB$111),0,RealEstate!AB$109*(1+inflation+RealEstate!AB$110)^$A17))</f>
        <v>EXPIRED</v>
      </c>
      <c r="AB17" s="23" t="str">
        <f t="shared" ca="1" si="16"/>
        <v>EXPIRED</v>
      </c>
      <c r="AC17" s="23" t="str">
        <f ca="1">IF(Message&lt;&gt;"",Message,IF($B17=RealEstate!AB$111,AA17*(1+$C$3),0)+IF(O17=RealEstate!AB$112,-AA17*(1-$C$2),0))</f>
        <v>EXPIRED</v>
      </c>
      <c r="AD17" s="53" t="str">
        <f ca="1">IF(Message&lt;&gt;"",Message,+IF(AC17&lt;0,MAX(0,AA17 - RealEstate!AB$109*(1+RealEstate!AB$110)^(MAX(age,RealEstate!AB$111)-age)-Taxes!$B$11*$C17),0))</f>
        <v>EXPIRED</v>
      </c>
      <c r="AE17" s="43" t="str">
        <f ca="1">IF(Message&lt;&gt;"",Message,IF(AND(AC17&lt;=0,AA17&gt;0),+AA17*RealEstate!AB$117,0))</f>
        <v>EXPIRED</v>
      </c>
      <c r="AF17" s="23" t="str">
        <f ca="1">IF(Message&lt;&gt;"",Message,IF(AND(AC17&lt;=0,AA17&gt;0),+AA17*RealEstate!AB$118,0))</f>
        <v>EXPIRED</v>
      </c>
      <c r="AG17" s="23" t="str">
        <f ca="1">IF(Message&lt;&gt;"",Message,IF(AND(AC17&lt;=0,AA17&gt;0),+RealEstate!AB$119*$C17,0))</f>
        <v>EXPIRED</v>
      </c>
      <c r="AH17" s="44" t="str">
        <f ca="1">IF(Message&lt;&gt;"",Message,IF(AND(AC17&lt;=0,AA17&gt;0),+RealEstate!AB$120*$C17,0))</f>
        <v>EXPIRED</v>
      </c>
      <c r="AI17" s="23" t="str">
        <f ca="1">IF(Message&lt;&gt;"",Message,+AK16*RealEstate!AB$115)</f>
        <v>EXPIRED</v>
      </c>
      <c r="AJ17" s="23" t="str">
        <f ca="1">IF(Message&lt;&gt;"",Message,+IF(AC17&gt;0,-AC17*RealEstate!AB$113,IF(AK16&lt;=0.1,0,IF(AA18=0,AK16,IF(AJ16&gt;0,SUM(AI16:AJ16)-AI17,AK16/100000*AB$116-AI17)))))</f>
        <v>EXPIRED</v>
      </c>
      <c r="AK17" s="44" t="str">
        <f ca="1">IF(Message&lt;&gt;"",Message,+IF(AC17&gt;0,AC17*RealEstate!AB$113,AK16-AJ17))</f>
        <v>EXPIRED</v>
      </c>
      <c r="AL17" s="20" t="str">
        <f t="shared" ca="1" si="17"/>
        <v>EXPIRED</v>
      </c>
      <c r="AM17" s="40"/>
    </row>
    <row r="18" spans="1:39" ht="14.45" x14ac:dyDescent="0.3">
      <c r="A18" s="14">
        <f t="shared" si="11"/>
        <v>13</v>
      </c>
      <c r="B18" s="14">
        <f t="shared" si="11"/>
        <v>53</v>
      </c>
      <c r="C18" s="38">
        <f t="shared" si="0"/>
        <v>1.2936066304537961</v>
      </c>
      <c r="E18" s="23">
        <f t="shared" ca="1" si="1"/>
        <v>0</v>
      </c>
      <c r="F18" s="20">
        <f t="shared" ca="1" si="12"/>
        <v>0</v>
      </c>
      <c r="G18" s="20">
        <f t="shared" ca="1" si="13"/>
        <v>0</v>
      </c>
      <c r="H18" s="23">
        <f t="shared" ca="1" si="4"/>
        <v>0</v>
      </c>
      <c r="I18" s="20">
        <f t="shared" ca="1" si="5"/>
        <v>0</v>
      </c>
      <c r="J18" s="20">
        <f t="shared" ca="1" si="6"/>
        <v>0</v>
      </c>
      <c r="K18" s="23">
        <f t="shared" ca="1" si="7"/>
        <v>0</v>
      </c>
      <c r="L18" s="23">
        <f t="shared" ca="1" si="8"/>
        <v>0</v>
      </c>
      <c r="M18" s="40"/>
      <c r="N18" s="20" t="str">
        <f ca="1">IF(Message&lt;&gt;"",Message,IF(OR($B18&gt;RealEstate!O$112,$B18&lt;RealEstate!O$111),0,RealEstate!O$109*(1+inflation+RealEstate!O$110)^$A18))</f>
        <v>EXPIRED</v>
      </c>
      <c r="O18" s="23" t="str">
        <f t="shared" ca="1" si="14"/>
        <v>EXPIRED</v>
      </c>
      <c r="P18" s="23" t="str">
        <f ca="1">IF(Message&lt;&gt;"",Message,IF($B18=RealEstate!O$111,N18*(1+$C$3),0)+IF(B18=RealEstate!O$112,-N18*(1-$C$2),0))</f>
        <v>EXPIRED</v>
      </c>
      <c r="Q18" s="53" t="str">
        <f ca="1">IF(Message&lt;&gt;"",Message,+IF(P18&lt;0,MAX(0,N18 - RealEstate!O$109*(1+RealEstate!O$110)^(MAX(age,RealEstate!O$111)-age)-Taxes!$B$11*$C18),0))</f>
        <v>EXPIRED</v>
      </c>
      <c r="R18" s="43" t="str">
        <f ca="1">IF(Message&lt;&gt;"",Message,IF(AND(P18&lt;=0,N18&gt;0),+N18*RealEstate!O$117,0))</f>
        <v>EXPIRED</v>
      </c>
      <c r="S18" s="23" t="str">
        <f ca="1">IF(Message&lt;&gt;"",Message,IF(AND(P18&lt;=0,N18&gt;0),+N18*RealEstate!O$118,0))</f>
        <v>EXPIRED</v>
      </c>
      <c r="T18" s="23" t="str">
        <f ca="1">IF(Message&lt;&gt;"",Message,IF(AND(P18&lt;=0,N18&gt;0),+RealEstate!O$119*$C18,0))</f>
        <v>EXPIRED</v>
      </c>
      <c r="U18" s="44" t="str">
        <f ca="1">IF(Message&lt;&gt;"",Message,IF(AND(P18&lt;=0,N18&gt;0),+RealEstate!O$120*$C18,0))</f>
        <v>EXPIRED</v>
      </c>
      <c r="V18" s="23" t="str">
        <f ca="1">IF(Message&lt;&gt;"",Message,+X17*RealEstate!O$115)</f>
        <v>EXPIRED</v>
      </c>
      <c r="W18" s="23" t="str">
        <f ca="1">IF(Message&lt;&gt;"",Message,+IF(P18&gt;0,-P18*RealEstate!O$113,IF(X17&lt;=0.1,0,IF(N19=0,X17,IF(W17&gt;0,SUM(V17:W17)-V18,X17/100000*O$116-V18)))))</f>
        <v>EXPIRED</v>
      </c>
      <c r="X18" s="44" t="str">
        <f ca="1">IF(Message&lt;&gt;"",Message,+IF(P18&gt;0,P18*RealEstate!O$113,X17-W18))</f>
        <v>EXPIRED</v>
      </c>
      <c r="Y18" s="20" t="str">
        <f t="shared" ca="1" si="15"/>
        <v>EXPIRED</v>
      </c>
      <c r="Z18" s="40"/>
      <c r="AA18" s="20" t="str">
        <f ca="1">IF(Message&lt;&gt;"",Message,IF(OR($B18&gt;RealEstate!AB$112,$B18&lt;RealEstate!AB$111),0,RealEstate!AB$109*(1+inflation+RealEstate!AB$110)^$A18))</f>
        <v>EXPIRED</v>
      </c>
      <c r="AB18" s="23" t="str">
        <f t="shared" ca="1" si="16"/>
        <v>EXPIRED</v>
      </c>
      <c r="AC18" s="23" t="str">
        <f ca="1">IF(Message&lt;&gt;"",Message,IF($B18=RealEstate!AB$111,AA18*(1+$C$3),0)+IF(O18=RealEstate!AB$112,-AA18*(1-$C$2),0))</f>
        <v>EXPIRED</v>
      </c>
      <c r="AD18" s="53" t="str">
        <f ca="1">IF(Message&lt;&gt;"",Message,+IF(AC18&lt;0,MAX(0,AA18 - RealEstate!AB$109*(1+RealEstate!AB$110)^(MAX(age,RealEstate!AB$111)-age)-Taxes!$B$11*$C18),0))</f>
        <v>EXPIRED</v>
      </c>
      <c r="AE18" s="43" t="str">
        <f ca="1">IF(Message&lt;&gt;"",Message,IF(AND(AC18&lt;=0,AA18&gt;0),+AA18*RealEstate!AB$117,0))</f>
        <v>EXPIRED</v>
      </c>
      <c r="AF18" s="23" t="str">
        <f ca="1">IF(Message&lt;&gt;"",Message,IF(AND(AC18&lt;=0,AA18&gt;0),+AA18*RealEstate!AB$118,0))</f>
        <v>EXPIRED</v>
      </c>
      <c r="AG18" s="23" t="str">
        <f ca="1">IF(Message&lt;&gt;"",Message,IF(AND(AC18&lt;=0,AA18&gt;0),+RealEstate!AB$119*$C18,0))</f>
        <v>EXPIRED</v>
      </c>
      <c r="AH18" s="44" t="str">
        <f ca="1">IF(Message&lt;&gt;"",Message,IF(AND(AC18&lt;=0,AA18&gt;0),+RealEstate!AB$120*$C18,0))</f>
        <v>EXPIRED</v>
      </c>
      <c r="AI18" s="23" t="str">
        <f ca="1">IF(Message&lt;&gt;"",Message,+AK17*RealEstate!AB$115)</f>
        <v>EXPIRED</v>
      </c>
      <c r="AJ18" s="23" t="str">
        <f ca="1">IF(Message&lt;&gt;"",Message,+IF(AC18&gt;0,-AC18*RealEstate!AB$113,IF(AK17&lt;=0.1,0,IF(AA19=0,AK17,IF(AJ17&gt;0,SUM(AI17:AJ17)-AI18,AK17/100000*AB$116-AI18)))))</f>
        <v>EXPIRED</v>
      </c>
      <c r="AK18" s="44" t="str">
        <f ca="1">IF(Message&lt;&gt;"",Message,+IF(AC18&gt;0,AC18*RealEstate!AB$113,AK17-AJ18))</f>
        <v>EXPIRED</v>
      </c>
      <c r="AL18" s="20" t="str">
        <f t="shared" ca="1" si="17"/>
        <v>EXPIRED</v>
      </c>
      <c r="AM18" s="40"/>
    </row>
    <row r="19" spans="1:39" ht="14.45" x14ac:dyDescent="0.3">
      <c r="A19" s="14">
        <f t="shared" si="11"/>
        <v>14</v>
      </c>
      <c r="B19" s="14">
        <f t="shared" si="11"/>
        <v>54</v>
      </c>
      <c r="C19" s="38">
        <f t="shared" si="0"/>
        <v>1.3194787630628722</v>
      </c>
      <c r="E19" s="23">
        <f t="shared" ca="1" si="1"/>
        <v>0</v>
      </c>
      <c r="F19" s="20">
        <f t="shared" ca="1" si="12"/>
        <v>0</v>
      </c>
      <c r="G19" s="20">
        <f t="shared" ca="1" si="13"/>
        <v>0</v>
      </c>
      <c r="H19" s="23">
        <f t="shared" ca="1" si="4"/>
        <v>0</v>
      </c>
      <c r="I19" s="20">
        <f t="shared" ca="1" si="5"/>
        <v>0</v>
      </c>
      <c r="J19" s="20">
        <f t="shared" ca="1" si="6"/>
        <v>0</v>
      </c>
      <c r="K19" s="23">
        <f t="shared" ca="1" si="7"/>
        <v>0</v>
      </c>
      <c r="L19" s="23">
        <f t="shared" ca="1" si="8"/>
        <v>0</v>
      </c>
      <c r="M19" s="40"/>
      <c r="N19" s="20" t="str">
        <f ca="1">IF(Message&lt;&gt;"",Message,IF(OR($B19&gt;RealEstate!O$112,$B19&lt;RealEstate!O$111),0,RealEstate!O$109*(1+inflation+RealEstate!O$110)^$A19))</f>
        <v>EXPIRED</v>
      </c>
      <c r="O19" s="23" t="str">
        <f t="shared" ca="1" si="14"/>
        <v>EXPIRED</v>
      </c>
      <c r="P19" s="23" t="str">
        <f ca="1">IF(Message&lt;&gt;"",Message,IF($B19=RealEstate!O$111,N19*(1+$C$3),0)+IF(B19=RealEstate!O$112,-N19*(1-$C$2),0))</f>
        <v>EXPIRED</v>
      </c>
      <c r="Q19" s="53" t="str">
        <f ca="1">IF(Message&lt;&gt;"",Message,+IF(P19&lt;0,MAX(0,N19 - RealEstate!O$109*(1+RealEstate!O$110)^(MAX(age,RealEstate!O$111)-age)-Taxes!$B$11*$C19),0))</f>
        <v>EXPIRED</v>
      </c>
      <c r="R19" s="43" t="str">
        <f ca="1">IF(Message&lt;&gt;"",Message,IF(AND(P19&lt;=0,N19&gt;0),+N19*RealEstate!O$117,0))</f>
        <v>EXPIRED</v>
      </c>
      <c r="S19" s="23" t="str">
        <f ca="1">IF(Message&lt;&gt;"",Message,IF(AND(P19&lt;=0,N19&gt;0),+N19*RealEstate!O$118,0))</f>
        <v>EXPIRED</v>
      </c>
      <c r="T19" s="23" t="str">
        <f ca="1">IF(Message&lt;&gt;"",Message,IF(AND(P19&lt;=0,N19&gt;0),+RealEstate!O$119*$C19,0))</f>
        <v>EXPIRED</v>
      </c>
      <c r="U19" s="44" t="str">
        <f ca="1">IF(Message&lt;&gt;"",Message,IF(AND(P19&lt;=0,N19&gt;0),+RealEstate!O$120*$C19,0))</f>
        <v>EXPIRED</v>
      </c>
      <c r="V19" s="23" t="str">
        <f ca="1">IF(Message&lt;&gt;"",Message,+X18*RealEstate!O$115)</f>
        <v>EXPIRED</v>
      </c>
      <c r="W19" s="23" t="str">
        <f ca="1">IF(Message&lt;&gt;"",Message,+IF(P19&gt;0,-P19*RealEstate!O$113,IF(X18&lt;=0.1,0,IF(N20=0,X18,IF(W18&gt;0,SUM(V18:W18)-V19,X18/100000*O$116-V19)))))</f>
        <v>EXPIRED</v>
      </c>
      <c r="X19" s="44" t="str">
        <f ca="1">IF(Message&lt;&gt;"",Message,+IF(P19&gt;0,P19*RealEstate!O$113,X18-W19))</f>
        <v>EXPIRED</v>
      </c>
      <c r="Y19" s="20" t="str">
        <f t="shared" ca="1" si="15"/>
        <v>EXPIRED</v>
      </c>
      <c r="Z19" s="40"/>
      <c r="AA19" s="20" t="str">
        <f ca="1">IF(Message&lt;&gt;"",Message,IF(OR($B19&gt;RealEstate!AB$112,$B19&lt;RealEstate!AB$111),0,RealEstate!AB$109*(1+inflation+RealEstate!AB$110)^$A19))</f>
        <v>EXPIRED</v>
      </c>
      <c r="AB19" s="23" t="str">
        <f t="shared" ca="1" si="16"/>
        <v>EXPIRED</v>
      </c>
      <c r="AC19" s="23" t="str">
        <f ca="1">IF(Message&lt;&gt;"",Message,IF($B19=RealEstate!AB$111,AA19*(1+$C$3),0)+IF(O19=RealEstate!AB$112,-AA19*(1-$C$2),0))</f>
        <v>EXPIRED</v>
      </c>
      <c r="AD19" s="53" t="str">
        <f ca="1">IF(Message&lt;&gt;"",Message,+IF(AC19&lt;0,MAX(0,AA19 - RealEstate!AB$109*(1+RealEstate!AB$110)^(MAX(age,RealEstate!AB$111)-age)-Taxes!$B$11*$C19),0))</f>
        <v>EXPIRED</v>
      </c>
      <c r="AE19" s="43" t="str">
        <f ca="1">IF(Message&lt;&gt;"",Message,IF(AND(AC19&lt;=0,AA19&gt;0),+AA19*RealEstate!AB$117,0))</f>
        <v>EXPIRED</v>
      </c>
      <c r="AF19" s="23" t="str">
        <f ca="1">IF(Message&lt;&gt;"",Message,IF(AND(AC19&lt;=0,AA19&gt;0),+AA19*RealEstate!AB$118,0))</f>
        <v>EXPIRED</v>
      </c>
      <c r="AG19" s="23" t="str">
        <f ca="1">IF(Message&lt;&gt;"",Message,IF(AND(AC19&lt;=0,AA19&gt;0),+RealEstate!AB$119*$C19,0))</f>
        <v>EXPIRED</v>
      </c>
      <c r="AH19" s="44" t="str">
        <f ca="1">IF(Message&lt;&gt;"",Message,IF(AND(AC19&lt;=0,AA19&gt;0),+RealEstate!AB$120*$C19,0))</f>
        <v>EXPIRED</v>
      </c>
      <c r="AI19" s="23" t="str">
        <f ca="1">IF(Message&lt;&gt;"",Message,+AK18*RealEstate!AB$115)</f>
        <v>EXPIRED</v>
      </c>
      <c r="AJ19" s="23" t="str">
        <f ca="1">IF(Message&lt;&gt;"",Message,+IF(AC19&gt;0,-AC19*RealEstate!AB$113,IF(AK18&lt;=0.1,0,IF(AA20=0,AK18,IF(AJ18&gt;0,SUM(AI18:AJ18)-AI19,AK18/100000*AB$116-AI19)))))</f>
        <v>EXPIRED</v>
      </c>
      <c r="AK19" s="44" t="str">
        <f ca="1">IF(Message&lt;&gt;"",Message,+IF(AC19&gt;0,AC19*RealEstate!AB$113,AK18-AJ19))</f>
        <v>EXPIRED</v>
      </c>
      <c r="AL19" s="20" t="str">
        <f t="shared" ca="1" si="17"/>
        <v>EXPIRED</v>
      </c>
      <c r="AM19" s="40"/>
    </row>
    <row r="20" spans="1:39" ht="14.45" x14ac:dyDescent="0.3">
      <c r="A20" s="14">
        <f t="shared" si="11"/>
        <v>15</v>
      </c>
      <c r="B20" s="14">
        <f t="shared" si="11"/>
        <v>55</v>
      </c>
      <c r="C20" s="38">
        <f t="shared" si="0"/>
        <v>1.3458683383241292</v>
      </c>
      <c r="E20" s="23">
        <f t="shared" ca="1" si="1"/>
        <v>0</v>
      </c>
      <c r="F20" s="20">
        <f t="shared" ca="1" si="12"/>
        <v>0</v>
      </c>
      <c r="G20" s="20">
        <f t="shared" ca="1" si="13"/>
        <v>0</v>
      </c>
      <c r="H20" s="23">
        <f t="shared" ca="1" si="4"/>
        <v>0</v>
      </c>
      <c r="I20" s="20">
        <f t="shared" ca="1" si="5"/>
        <v>0</v>
      </c>
      <c r="J20" s="20">
        <f t="shared" ca="1" si="6"/>
        <v>0</v>
      </c>
      <c r="K20" s="23">
        <f t="shared" ca="1" si="7"/>
        <v>0</v>
      </c>
      <c r="L20" s="23">
        <f t="shared" ca="1" si="8"/>
        <v>0</v>
      </c>
      <c r="M20" s="40"/>
      <c r="N20" s="20" t="str">
        <f ca="1">IF(Message&lt;&gt;"",Message,IF(OR($B20&gt;RealEstate!O$112,$B20&lt;RealEstate!O$111),0,RealEstate!O$109*(1+inflation+RealEstate!O$110)^$A20))</f>
        <v>EXPIRED</v>
      </c>
      <c r="O20" s="23" t="str">
        <f t="shared" ca="1" si="14"/>
        <v>EXPIRED</v>
      </c>
      <c r="P20" s="23" t="str">
        <f ca="1">IF(Message&lt;&gt;"",Message,IF($B20=RealEstate!O$111,N20*(1+$C$3),0)+IF(B20=RealEstate!O$112,-N20*(1-$C$2),0))</f>
        <v>EXPIRED</v>
      </c>
      <c r="Q20" s="53" t="str">
        <f ca="1">IF(Message&lt;&gt;"",Message,+IF(P20&lt;0,MAX(0,N20 - RealEstate!O$109*(1+RealEstate!O$110)^(MAX(age,RealEstate!O$111)-age)-Taxes!$B$11*$C20),0))</f>
        <v>EXPIRED</v>
      </c>
      <c r="R20" s="43" t="str">
        <f ca="1">IF(Message&lt;&gt;"",Message,IF(AND(P20&lt;=0,N20&gt;0),+N20*RealEstate!O$117,0))</f>
        <v>EXPIRED</v>
      </c>
      <c r="S20" s="23" t="str">
        <f ca="1">IF(Message&lt;&gt;"",Message,IF(AND(P20&lt;=0,N20&gt;0),+N20*RealEstate!O$118,0))</f>
        <v>EXPIRED</v>
      </c>
      <c r="T20" s="23" t="str">
        <f ca="1">IF(Message&lt;&gt;"",Message,IF(AND(P20&lt;=0,N20&gt;0),+RealEstate!O$119*$C20,0))</f>
        <v>EXPIRED</v>
      </c>
      <c r="U20" s="44" t="str">
        <f ca="1">IF(Message&lt;&gt;"",Message,IF(AND(P20&lt;=0,N20&gt;0),+RealEstate!O$120*$C20,0))</f>
        <v>EXPIRED</v>
      </c>
      <c r="V20" s="23" t="str">
        <f ca="1">IF(Message&lt;&gt;"",Message,+X19*RealEstate!O$115)</f>
        <v>EXPIRED</v>
      </c>
      <c r="W20" s="23" t="str">
        <f ca="1">IF(Message&lt;&gt;"",Message,+IF(P20&gt;0,-P20*RealEstate!O$113,IF(X19&lt;=0.1,0,IF(N21=0,X19,IF(W19&gt;0,SUM(V19:W19)-V20,X19/100000*O$116-V20)))))</f>
        <v>EXPIRED</v>
      </c>
      <c r="X20" s="44" t="str">
        <f ca="1">IF(Message&lt;&gt;"",Message,+IF(P20&gt;0,P20*RealEstate!O$113,X19-W20))</f>
        <v>EXPIRED</v>
      </c>
      <c r="Y20" s="20" t="str">
        <f t="shared" ca="1" si="15"/>
        <v>EXPIRED</v>
      </c>
      <c r="Z20" s="40"/>
      <c r="AA20" s="20" t="str">
        <f ca="1">IF(Message&lt;&gt;"",Message,IF(OR($B20&gt;RealEstate!AB$112,$B20&lt;RealEstate!AB$111),0,RealEstate!AB$109*(1+inflation+RealEstate!AB$110)^$A20))</f>
        <v>EXPIRED</v>
      </c>
      <c r="AB20" s="23" t="str">
        <f t="shared" ca="1" si="16"/>
        <v>EXPIRED</v>
      </c>
      <c r="AC20" s="23" t="str">
        <f ca="1">IF(Message&lt;&gt;"",Message,IF($B20=RealEstate!AB$111,AA20*(1+$C$3),0)+IF(O20=RealEstate!AB$112,-AA20*(1-$C$2),0))</f>
        <v>EXPIRED</v>
      </c>
      <c r="AD20" s="53" t="str">
        <f ca="1">IF(Message&lt;&gt;"",Message,+IF(AC20&lt;0,MAX(0,AA20 - RealEstate!AB$109*(1+RealEstate!AB$110)^(MAX(age,RealEstate!AB$111)-age)-Taxes!$B$11*$C20),0))</f>
        <v>EXPIRED</v>
      </c>
      <c r="AE20" s="43" t="str">
        <f ca="1">IF(Message&lt;&gt;"",Message,IF(AND(AC20&lt;=0,AA20&gt;0),+AA20*RealEstate!AB$117,0))</f>
        <v>EXPIRED</v>
      </c>
      <c r="AF20" s="23" t="str">
        <f ca="1">IF(Message&lt;&gt;"",Message,IF(AND(AC20&lt;=0,AA20&gt;0),+AA20*RealEstate!AB$118,0))</f>
        <v>EXPIRED</v>
      </c>
      <c r="AG20" s="23" t="str">
        <f ca="1">IF(Message&lt;&gt;"",Message,IF(AND(AC20&lt;=0,AA20&gt;0),+RealEstate!AB$119*$C20,0))</f>
        <v>EXPIRED</v>
      </c>
      <c r="AH20" s="44" t="str">
        <f ca="1">IF(Message&lt;&gt;"",Message,IF(AND(AC20&lt;=0,AA20&gt;0),+RealEstate!AB$120*$C20,0))</f>
        <v>EXPIRED</v>
      </c>
      <c r="AI20" s="23" t="str">
        <f ca="1">IF(Message&lt;&gt;"",Message,+AK19*RealEstate!AB$115)</f>
        <v>EXPIRED</v>
      </c>
      <c r="AJ20" s="23" t="str">
        <f ca="1">IF(Message&lt;&gt;"",Message,+IF(AC20&gt;0,-AC20*RealEstate!AB$113,IF(AK19&lt;=0.1,0,IF(AA21=0,AK19,IF(AJ19&gt;0,SUM(AI19:AJ19)-AI20,AK19/100000*AB$116-AI20)))))</f>
        <v>EXPIRED</v>
      </c>
      <c r="AK20" s="44" t="str">
        <f ca="1">IF(Message&lt;&gt;"",Message,+IF(AC20&gt;0,AC20*RealEstate!AB$113,AK19-AJ20))</f>
        <v>EXPIRED</v>
      </c>
      <c r="AL20" s="20" t="str">
        <f t="shared" ca="1" si="17"/>
        <v>EXPIRED</v>
      </c>
      <c r="AM20" s="40"/>
    </row>
    <row r="21" spans="1:39" ht="14.45" x14ac:dyDescent="0.3">
      <c r="A21" s="14">
        <f t="shared" si="11"/>
        <v>16</v>
      </c>
      <c r="B21" s="14">
        <f t="shared" si="11"/>
        <v>56</v>
      </c>
      <c r="C21" s="38">
        <f t="shared" si="0"/>
        <v>1.372785705090612</v>
      </c>
      <c r="E21" s="23">
        <f t="shared" ca="1" si="1"/>
        <v>0</v>
      </c>
      <c r="F21" s="20">
        <f t="shared" ca="1" si="12"/>
        <v>0</v>
      </c>
      <c r="G21" s="20">
        <f t="shared" ca="1" si="13"/>
        <v>0</v>
      </c>
      <c r="H21" s="23">
        <f t="shared" ca="1" si="4"/>
        <v>0</v>
      </c>
      <c r="I21" s="20">
        <f t="shared" ca="1" si="5"/>
        <v>0</v>
      </c>
      <c r="J21" s="20">
        <f t="shared" ca="1" si="6"/>
        <v>0</v>
      </c>
      <c r="K21" s="23">
        <f t="shared" ca="1" si="7"/>
        <v>0</v>
      </c>
      <c r="L21" s="23">
        <f t="shared" ca="1" si="8"/>
        <v>0</v>
      </c>
      <c r="M21" s="40"/>
      <c r="N21" s="20" t="str">
        <f ca="1">IF(Message&lt;&gt;"",Message,IF(OR($B21&gt;RealEstate!O$112,$B21&lt;RealEstate!O$111),0,RealEstate!O$109*(1+inflation+RealEstate!O$110)^$A21))</f>
        <v>EXPIRED</v>
      </c>
      <c r="O21" s="23" t="str">
        <f t="shared" ca="1" si="14"/>
        <v>EXPIRED</v>
      </c>
      <c r="P21" s="23" t="str">
        <f ca="1">IF(Message&lt;&gt;"",Message,IF($B21=RealEstate!O$111,N21*(1+$C$3),0)+IF(B21=RealEstate!O$112,-N21*(1-$C$2),0))</f>
        <v>EXPIRED</v>
      </c>
      <c r="Q21" s="53" t="str">
        <f ca="1">IF(Message&lt;&gt;"",Message,+IF(P21&lt;0,MAX(0,N21 - RealEstate!O$109*(1+RealEstate!O$110)^(MAX(age,RealEstate!O$111)-age)-Taxes!$B$11*$C21),0))</f>
        <v>EXPIRED</v>
      </c>
      <c r="R21" s="43" t="str">
        <f ca="1">IF(Message&lt;&gt;"",Message,IF(AND(P21&lt;=0,N21&gt;0),+N21*RealEstate!O$117,0))</f>
        <v>EXPIRED</v>
      </c>
      <c r="S21" s="23" t="str">
        <f ca="1">IF(Message&lt;&gt;"",Message,IF(AND(P21&lt;=0,N21&gt;0),+N21*RealEstate!O$118,0))</f>
        <v>EXPIRED</v>
      </c>
      <c r="T21" s="23" t="str">
        <f ca="1">IF(Message&lt;&gt;"",Message,IF(AND(P21&lt;=0,N21&gt;0),+RealEstate!O$119*$C21,0))</f>
        <v>EXPIRED</v>
      </c>
      <c r="U21" s="44" t="str">
        <f ca="1">IF(Message&lt;&gt;"",Message,IF(AND(P21&lt;=0,N21&gt;0),+RealEstate!O$120*$C21,0))</f>
        <v>EXPIRED</v>
      </c>
      <c r="V21" s="23" t="str">
        <f ca="1">IF(Message&lt;&gt;"",Message,+X20*RealEstate!O$115)</f>
        <v>EXPIRED</v>
      </c>
      <c r="W21" s="23" t="str">
        <f ca="1">IF(Message&lt;&gt;"",Message,+IF(P21&gt;0,-P21*RealEstate!O$113,IF(X20&lt;=0.1,0,IF(N22=0,X20,IF(W20&gt;0,SUM(V20:W20)-V21,X20/100000*O$116-V21)))))</f>
        <v>EXPIRED</v>
      </c>
      <c r="X21" s="44" t="str">
        <f ca="1">IF(Message&lt;&gt;"",Message,+IF(P21&gt;0,P21*RealEstate!O$113,X20-W21))</f>
        <v>EXPIRED</v>
      </c>
      <c r="Y21" s="20" t="str">
        <f t="shared" ca="1" si="15"/>
        <v>EXPIRED</v>
      </c>
      <c r="Z21" s="40"/>
      <c r="AA21" s="20" t="str">
        <f ca="1">IF(Message&lt;&gt;"",Message,IF(OR($B21&gt;RealEstate!AB$112,$B21&lt;RealEstate!AB$111),0,RealEstate!AB$109*(1+inflation+RealEstate!AB$110)^$A21))</f>
        <v>EXPIRED</v>
      </c>
      <c r="AB21" s="23" t="str">
        <f t="shared" ca="1" si="16"/>
        <v>EXPIRED</v>
      </c>
      <c r="AC21" s="23" t="str">
        <f ca="1">IF(Message&lt;&gt;"",Message,IF($B21=RealEstate!AB$111,AA21*(1+$C$3),0)+IF(O21=RealEstate!AB$112,-AA21*(1-$C$2),0))</f>
        <v>EXPIRED</v>
      </c>
      <c r="AD21" s="53" t="str">
        <f ca="1">IF(Message&lt;&gt;"",Message,+IF(AC21&lt;0,MAX(0,AA21 - RealEstate!AB$109*(1+RealEstate!AB$110)^(MAX(age,RealEstate!AB$111)-age)-Taxes!$B$11*$C21),0))</f>
        <v>EXPIRED</v>
      </c>
      <c r="AE21" s="43" t="str">
        <f ca="1">IF(Message&lt;&gt;"",Message,IF(AND(AC21&lt;=0,AA21&gt;0),+AA21*RealEstate!AB$117,0))</f>
        <v>EXPIRED</v>
      </c>
      <c r="AF21" s="23" t="str">
        <f ca="1">IF(Message&lt;&gt;"",Message,IF(AND(AC21&lt;=0,AA21&gt;0),+AA21*RealEstate!AB$118,0))</f>
        <v>EXPIRED</v>
      </c>
      <c r="AG21" s="23" t="str">
        <f ca="1">IF(Message&lt;&gt;"",Message,IF(AND(AC21&lt;=0,AA21&gt;0),+RealEstate!AB$119*$C21,0))</f>
        <v>EXPIRED</v>
      </c>
      <c r="AH21" s="44" t="str">
        <f ca="1">IF(Message&lt;&gt;"",Message,IF(AND(AC21&lt;=0,AA21&gt;0),+RealEstate!AB$120*$C21,0))</f>
        <v>EXPIRED</v>
      </c>
      <c r="AI21" s="23" t="str">
        <f ca="1">IF(Message&lt;&gt;"",Message,+AK20*RealEstate!AB$115)</f>
        <v>EXPIRED</v>
      </c>
      <c r="AJ21" s="23" t="str">
        <f ca="1">IF(Message&lt;&gt;"",Message,+IF(AC21&gt;0,-AC21*RealEstate!AB$113,IF(AK20&lt;=0.1,0,IF(AA22=0,AK20,IF(AJ20&gt;0,SUM(AI20:AJ20)-AI21,AK20/100000*AB$116-AI21)))))</f>
        <v>EXPIRED</v>
      </c>
      <c r="AK21" s="44" t="str">
        <f ca="1">IF(Message&lt;&gt;"",Message,+IF(AC21&gt;0,AC21*RealEstate!AB$113,AK20-AJ21))</f>
        <v>EXPIRED</v>
      </c>
      <c r="AL21" s="20" t="str">
        <f t="shared" ca="1" si="17"/>
        <v>EXPIRED</v>
      </c>
      <c r="AM21" s="40"/>
    </row>
    <row r="22" spans="1:39" ht="14.45" x14ac:dyDescent="0.3">
      <c r="A22" s="14">
        <f t="shared" si="11"/>
        <v>17</v>
      </c>
      <c r="B22" s="14">
        <f t="shared" si="11"/>
        <v>57</v>
      </c>
      <c r="C22" s="38">
        <f t="shared" si="0"/>
        <v>1.4002414191924244</v>
      </c>
      <c r="E22" s="23">
        <f t="shared" ca="1" si="1"/>
        <v>0</v>
      </c>
      <c r="F22" s="20">
        <f t="shared" ca="1" si="12"/>
        <v>0</v>
      </c>
      <c r="G22" s="20">
        <f t="shared" ca="1" si="13"/>
        <v>0</v>
      </c>
      <c r="H22" s="23">
        <f t="shared" ca="1" si="4"/>
        <v>0</v>
      </c>
      <c r="I22" s="20">
        <f t="shared" ca="1" si="5"/>
        <v>0</v>
      </c>
      <c r="J22" s="20">
        <f t="shared" ca="1" si="6"/>
        <v>0</v>
      </c>
      <c r="K22" s="23">
        <f t="shared" ca="1" si="7"/>
        <v>0</v>
      </c>
      <c r="L22" s="23">
        <f t="shared" ca="1" si="8"/>
        <v>0</v>
      </c>
      <c r="M22" s="40"/>
      <c r="N22" s="20" t="str">
        <f ca="1">IF(Message&lt;&gt;"",Message,IF(OR($B22&gt;RealEstate!O$112,$B22&lt;RealEstate!O$111),0,RealEstate!O$109*(1+inflation+RealEstate!O$110)^$A22))</f>
        <v>EXPIRED</v>
      </c>
      <c r="O22" s="23" t="str">
        <f t="shared" ca="1" si="14"/>
        <v>EXPIRED</v>
      </c>
      <c r="P22" s="23" t="str">
        <f ca="1">IF(Message&lt;&gt;"",Message,IF($B22=RealEstate!O$111,N22*(1+$C$3),0)+IF(B22=RealEstate!O$112,-N22*(1-$C$2),0))</f>
        <v>EXPIRED</v>
      </c>
      <c r="Q22" s="53" t="str">
        <f ca="1">IF(Message&lt;&gt;"",Message,+IF(P22&lt;0,MAX(0,N22 - RealEstate!O$109*(1+RealEstate!O$110)^(MAX(age,RealEstate!O$111)-age)-Taxes!$B$11*$C22),0))</f>
        <v>EXPIRED</v>
      </c>
      <c r="R22" s="43" t="str">
        <f ca="1">IF(Message&lt;&gt;"",Message,IF(AND(P22&lt;=0,N22&gt;0),+N22*RealEstate!O$117,0))</f>
        <v>EXPIRED</v>
      </c>
      <c r="S22" s="23" t="str">
        <f ca="1">IF(Message&lt;&gt;"",Message,IF(AND(P22&lt;=0,N22&gt;0),+N22*RealEstate!O$118,0))</f>
        <v>EXPIRED</v>
      </c>
      <c r="T22" s="23" t="str">
        <f ca="1">IF(Message&lt;&gt;"",Message,IF(AND(P22&lt;=0,N22&gt;0),+RealEstate!O$119*$C22,0))</f>
        <v>EXPIRED</v>
      </c>
      <c r="U22" s="44" t="str">
        <f ca="1">IF(Message&lt;&gt;"",Message,IF(AND(P22&lt;=0,N22&gt;0),+RealEstate!O$120*$C22,0))</f>
        <v>EXPIRED</v>
      </c>
      <c r="V22" s="23" t="str">
        <f ca="1">IF(Message&lt;&gt;"",Message,+X21*RealEstate!O$115)</f>
        <v>EXPIRED</v>
      </c>
      <c r="W22" s="23" t="str">
        <f ca="1">IF(Message&lt;&gt;"",Message,+IF(P22&gt;0,-P22*RealEstate!O$113,IF(X21&lt;=0.1,0,IF(N23=0,X21,IF(W21&gt;0,SUM(V21:W21)-V22,X21/100000*O$116-V22)))))</f>
        <v>EXPIRED</v>
      </c>
      <c r="X22" s="44" t="str">
        <f ca="1">IF(Message&lt;&gt;"",Message,+IF(P22&gt;0,P22*RealEstate!O$113,X21-W22))</f>
        <v>EXPIRED</v>
      </c>
      <c r="Y22" s="20" t="str">
        <f t="shared" ca="1" si="15"/>
        <v>EXPIRED</v>
      </c>
      <c r="Z22" s="40"/>
      <c r="AA22" s="20" t="str">
        <f ca="1">IF(Message&lt;&gt;"",Message,IF(OR($B22&gt;RealEstate!AB$112,$B22&lt;RealEstate!AB$111),0,RealEstate!AB$109*(1+inflation+RealEstate!AB$110)^$A22))</f>
        <v>EXPIRED</v>
      </c>
      <c r="AB22" s="23" t="str">
        <f t="shared" ca="1" si="16"/>
        <v>EXPIRED</v>
      </c>
      <c r="AC22" s="23" t="str">
        <f ca="1">IF(Message&lt;&gt;"",Message,IF($B22=RealEstate!AB$111,AA22*(1+$C$3),0)+IF(O22=RealEstate!AB$112,-AA22*(1-$C$2),0))</f>
        <v>EXPIRED</v>
      </c>
      <c r="AD22" s="53" t="str">
        <f ca="1">IF(Message&lt;&gt;"",Message,+IF(AC22&lt;0,MAX(0,AA22 - RealEstate!AB$109*(1+RealEstate!AB$110)^(MAX(age,RealEstate!AB$111)-age)-Taxes!$B$11*$C22),0))</f>
        <v>EXPIRED</v>
      </c>
      <c r="AE22" s="43" t="str">
        <f ca="1">IF(Message&lt;&gt;"",Message,IF(AND(AC22&lt;=0,AA22&gt;0),+AA22*RealEstate!AB$117,0))</f>
        <v>EXPIRED</v>
      </c>
      <c r="AF22" s="23" t="str">
        <f ca="1">IF(Message&lt;&gt;"",Message,IF(AND(AC22&lt;=0,AA22&gt;0),+AA22*RealEstate!AB$118,0))</f>
        <v>EXPIRED</v>
      </c>
      <c r="AG22" s="23" t="str">
        <f ca="1">IF(Message&lt;&gt;"",Message,IF(AND(AC22&lt;=0,AA22&gt;0),+RealEstate!AB$119*$C22,0))</f>
        <v>EXPIRED</v>
      </c>
      <c r="AH22" s="44" t="str">
        <f ca="1">IF(Message&lt;&gt;"",Message,IF(AND(AC22&lt;=0,AA22&gt;0),+RealEstate!AB$120*$C22,0))</f>
        <v>EXPIRED</v>
      </c>
      <c r="AI22" s="23" t="str">
        <f ca="1">IF(Message&lt;&gt;"",Message,+AK21*RealEstate!AB$115)</f>
        <v>EXPIRED</v>
      </c>
      <c r="AJ22" s="23" t="str">
        <f ca="1">IF(Message&lt;&gt;"",Message,+IF(AC22&gt;0,-AC22*RealEstate!AB$113,IF(AK21&lt;=0.1,0,IF(AA23=0,AK21,IF(AJ21&gt;0,SUM(AI21:AJ21)-AI22,AK21/100000*AB$116-AI22)))))</f>
        <v>EXPIRED</v>
      </c>
      <c r="AK22" s="44" t="str">
        <f ca="1">IF(Message&lt;&gt;"",Message,+IF(AC22&gt;0,AC22*RealEstate!AB$113,AK21-AJ22))</f>
        <v>EXPIRED</v>
      </c>
      <c r="AL22" s="20" t="str">
        <f t="shared" ca="1" si="17"/>
        <v>EXPIRED</v>
      </c>
      <c r="AM22" s="40"/>
    </row>
    <row r="23" spans="1:39" ht="14.45" x14ac:dyDescent="0.3">
      <c r="A23" s="14">
        <f t="shared" ref="A23:B38" si="18">+A22+1</f>
        <v>18</v>
      </c>
      <c r="B23" s="14">
        <f t="shared" si="18"/>
        <v>58</v>
      </c>
      <c r="C23" s="38">
        <f t="shared" si="0"/>
        <v>1.4282462475762727</v>
      </c>
      <c r="E23" s="23">
        <f t="shared" ca="1" si="1"/>
        <v>0</v>
      </c>
      <c r="F23" s="20">
        <f t="shared" ca="1" si="12"/>
        <v>0</v>
      </c>
      <c r="G23" s="20">
        <f t="shared" ca="1" si="13"/>
        <v>0</v>
      </c>
      <c r="H23" s="23">
        <f t="shared" ca="1" si="4"/>
        <v>0</v>
      </c>
      <c r="I23" s="20">
        <f t="shared" ca="1" si="5"/>
        <v>0</v>
      </c>
      <c r="J23" s="20">
        <f t="shared" ca="1" si="6"/>
        <v>0</v>
      </c>
      <c r="K23" s="23">
        <f t="shared" ca="1" si="7"/>
        <v>0</v>
      </c>
      <c r="L23" s="23">
        <f t="shared" ca="1" si="8"/>
        <v>0</v>
      </c>
      <c r="M23" s="40"/>
      <c r="N23" s="20" t="str">
        <f ca="1">IF(Message&lt;&gt;"",Message,IF(OR($B23&gt;RealEstate!O$112,$B23&lt;RealEstate!O$111),0,RealEstate!O$109*(1+inflation+RealEstate!O$110)^$A23))</f>
        <v>EXPIRED</v>
      </c>
      <c r="O23" s="23" t="str">
        <f t="shared" ca="1" si="14"/>
        <v>EXPIRED</v>
      </c>
      <c r="P23" s="23" t="str">
        <f ca="1">IF(Message&lt;&gt;"",Message,IF($B23=RealEstate!O$111,N23*(1+$C$3),0)+IF(B23=RealEstate!O$112,-N23*(1-$C$2),0))</f>
        <v>EXPIRED</v>
      </c>
      <c r="Q23" s="53" t="str">
        <f ca="1">IF(Message&lt;&gt;"",Message,+IF(P23&lt;0,MAX(0,N23 - RealEstate!O$109*(1+RealEstate!O$110)^(MAX(age,RealEstate!O$111)-age)-Taxes!$B$11*$C23),0))</f>
        <v>EXPIRED</v>
      </c>
      <c r="R23" s="43" t="str">
        <f ca="1">IF(Message&lt;&gt;"",Message,IF(AND(P23&lt;=0,N23&gt;0),+N23*RealEstate!O$117,0))</f>
        <v>EXPIRED</v>
      </c>
      <c r="S23" s="23" t="str">
        <f ca="1">IF(Message&lt;&gt;"",Message,IF(AND(P23&lt;=0,N23&gt;0),+N23*RealEstate!O$118,0))</f>
        <v>EXPIRED</v>
      </c>
      <c r="T23" s="23" t="str">
        <f ca="1">IF(Message&lt;&gt;"",Message,IF(AND(P23&lt;=0,N23&gt;0),+RealEstate!O$119*$C23,0))</f>
        <v>EXPIRED</v>
      </c>
      <c r="U23" s="44" t="str">
        <f ca="1">IF(Message&lt;&gt;"",Message,IF(AND(P23&lt;=0,N23&gt;0),+RealEstate!O$120*$C23,0))</f>
        <v>EXPIRED</v>
      </c>
      <c r="V23" s="23" t="str">
        <f ca="1">IF(Message&lt;&gt;"",Message,+X22*RealEstate!O$115)</f>
        <v>EXPIRED</v>
      </c>
      <c r="W23" s="23" t="str">
        <f ca="1">IF(Message&lt;&gt;"",Message,+IF(P23&gt;0,-P23*RealEstate!O$113,IF(X22&lt;=0.1,0,IF(N24=0,X22,IF(W22&gt;0,SUM(V22:W22)-V23,X22/100000*O$116-V23)))))</f>
        <v>EXPIRED</v>
      </c>
      <c r="X23" s="44" t="str">
        <f ca="1">IF(Message&lt;&gt;"",Message,+IF(P23&gt;0,P23*RealEstate!O$113,X22-W23))</f>
        <v>EXPIRED</v>
      </c>
      <c r="Y23" s="20" t="str">
        <f t="shared" ca="1" si="15"/>
        <v>EXPIRED</v>
      </c>
      <c r="Z23" s="40"/>
      <c r="AA23" s="20" t="str">
        <f ca="1">IF(Message&lt;&gt;"",Message,IF(OR($B23&gt;RealEstate!AB$112,$B23&lt;RealEstate!AB$111),0,RealEstate!AB$109*(1+inflation+RealEstate!AB$110)^$A23))</f>
        <v>EXPIRED</v>
      </c>
      <c r="AB23" s="23" t="str">
        <f t="shared" ca="1" si="16"/>
        <v>EXPIRED</v>
      </c>
      <c r="AC23" s="23" t="str">
        <f ca="1">IF(Message&lt;&gt;"",Message,IF($B23=RealEstate!AB$111,AA23*(1+$C$3),0)+IF(O23=RealEstate!AB$112,-AA23*(1-$C$2),0))</f>
        <v>EXPIRED</v>
      </c>
      <c r="AD23" s="53" t="str">
        <f ca="1">IF(Message&lt;&gt;"",Message,+IF(AC23&lt;0,MAX(0,AA23 - RealEstate!AB$109*(1+RealEstate!AB$110)^(MAX(age,RealEstate!AB$111)-age)-Taxes!$B$11*$C23),0))</f>
        <v>EXPIRED</v>
      </c>
      <c r="AE23" s="43" t="str">
        <f ca="1">IF(Message&lt;&gt;"",Message,IF(AND(AC23&lt;=0,AA23&gt;0),+AA23*RealEstate!AB$117,0))</f>
        <v>EXPIRED</v>
      </c>
      <c r="AF23" s="23" t="str">
        <f ca="1">IF(Message&lt;&gt;"",Message,IF(AND(AC23&lt;=0,AA23&gt;0),+AA23*RealEstate!AB$118,0))</f>
        <v>EXPIRED</v>
      </c>
      <c r="AG23" s="23" t="str">
        <f ca="1">IF(Message&lt;&gt;"",Message,IF(AND(AC23&lt;=0,AA23&gt;0),+RealEstate!AB$119*$C23,0))</f>
        <v>EXPIRED</v>
      </c>
      <c r="AH23" s="44" t="str">
        <f ca="1">IF(Message&lt;&gt;"",Message,IF(AND(AC23&lt;=0,AA23&gt;0),+RealEstate!AB$120*$C23,0))</f>
        <v>EXPIRED</v>
      </c>
      <c r="AI23" s="23" t="str">
        <f ca="1">IF(Message&lt;&gt;"",Message,+AK22*RealEstate!AB$115)</f>
        <v>EXPIRED</v>
      </c>
      <c r="AJ23" s="23" t="str">
        <f ca="1">IF(Message&lt;&gt;"",Message,+IF(AC23&gt;0,-AC23*RealEstate!AB$113,IF(AK22&lt;=0.1,0,IF(AA24=0,AK22,IF(AJ22&gt;0,SUM(AI22:AJ22)-AI23,AK22/100000*AB$116-AI23)))))</f>
        <v>EXPIRED</v>
      </c>
      <c r="AK23" s="44" t="str">
        <f ca="1">IF(Message&lt;&gt;"",Message,+IF(AC23&gt;0,AC23*RealEstate!AB$113,AK22-AJ23))</f>
        <v>EXPIRED</v>
      </c>
      <c r="AL23" s="20" t="str">
        <f t="shared" ca="1" si="17"/>
        <v>EXPIRED</v>
      </c>
      <c r="AM23" s="40"/>
    </row>
    <row r="24" spans="1:39" ht="14.45" x14ac:dyDescent="0.3">
      <c r="A24" s="14">
        <f t="shared" si="18"/>
        <v>19</v>
      </c>
      <c r="B24" s="14">
        <f t="shared" si="18"/>
        <v>59</v>
      </c>
      <c r="C24" s="38">
        <f t="shared" si="0"/>
        <v>1.4568111725277981</v>
      </c>
      <c r="E24" s="23">
        <f t="shared" ca="1" si="1"/>
        <v>0</v>
      </c>
      <c r="F24" s="20">
        <f t="shared" ca="1" si="12"/>
        <v>0</v>
      </c>
      <c r="G24" s="20">
        <f t="shared" ca="1" si="13"/>
        <v>0</v>
      </c>
      <c r="H24" s="23">
        <f t="shared" ca="1" si="4"/>
        <v>0</v>
      </c>
      <c r="I24" s="20">
        <f t="shared" ca="1" si="5"/>
        <v>0</v>
      </c>
      <c r="J24" s="20">
        <f t="shared" ca="1" si="6"/>
        <v>0</v>
      </c>
      <c r="K24" s="23">
        <f t="shared" ca="1" si="7"/>
        <v>0</v>
      </c>
      <c r="L24" s="23">
        <f t="shared" ca="1" si="8"/>
        <v>0</v>
      </c>
      <c r="M24" s="40"/>
      <c r="N24" s="20" t="str">
        <f ca="1">IF(Message&lt;&gt;"",Message,IF(OR($B24&gt;RealEstate!O$112,$B24&lt;RealEstate!O$111),0,RealEstate!O$109*(1+inflation+RealEstate!O$110)^$A24))</f>
        <v>EXPIRED</v>
      </c>
      <c r="O24" s="23" t="str">
        <f t="shared" ca="1" si="14"/>
        <v>EXPIRED</v>
      </c>
      <c r="P24" s="23" t="str">
        <f ca="1">IF(Message&lt;&gt;"",Message,IF($B24=RealEstate!O$111,N24*(1+$C$3),0)+IF(B24=RealEstate!O$112,-N24*(1-$C$2),0))</f>
        <v>EXPIRED</v>
      </c>
      <c r="Q24" s="53" t="str">
        <f ca="1">IF(Message&lt;&gt;"",Message,+IF(P24&lt;0,MAX(0,N24 - RealEstate!O$109*(1+RealEstate!O$110)^(MAX(age,RealEstate!O$111)-age)-Taxes!$B$11*$C24),0))</f>
        <v>EXPIRED</v>
      </c>
      <c r="R24" s="43" t="str">
        <f ca="1">IF(Message&lt;&gt;"",Message,IF(AND(P24&lt;=0,N24&gt;0),+N24*RealEstate!O$117,0))</f>
        <v>EXPIRED</v>
      </c>
      <c r="S24" s="23" t="str">
        <f ca="1">IF(Message&lt;&gt;"",Message,IF(AND(P24&lt;=0,N24&gt;0),+N24*RealEstate!O$118,0))</f>
        <v>EXPIRED</v>
      </c>
      <c r="T24" s="23" t="str">
        <f ca="1">IF(Message&lt;&gt;"",Message,IF(AND(P24&lt;=0,N24&gt;0),+RealEstate!O$119*$C24,0))</f>
        <v>EXPIRED</v>
      </c>
      <c r="U24" s="44" t="str">
        <f ca="1">IF(Message&lt;&gt;"",Message,IF(AND(P24&lt;=0,N24&gt;0),+RealEstate!O$120*$C24,0))</f>
        <v>EXPIRED</v>
      </c>
      <c r="V24" s="23" t="str">
        <f ca="1">IF(Message&lt;&gt;"",Message,+X23*RealEstate!O$115)</f>
        <v>EXPIRED</v>
      </c>
      <c r="W24" s="23" t="str">
        <f ca="1">IF(Message&lt;&gt;"",Message,+IF(P24&gt;0,-P24*RealEstate!O$113,IF(X23&lt;=0.1,0,IF(N25=0,X23,IF(W23&gt;0,SUM(V23:W23)-V24,X23/100000*O$116-V24)))))</f>
        <v>EXPIRED</v>
      </c>
      <c r="X24" s="44" t="str">
        <f ca="1">IF(Message&lt;&gt;"",Message,+IF(P24&gt;0,P24*RealEstate!O$113,X23-W24))</f>
        <v>EXPIRED</v>
      </c>
      <c r="Y24" s="20" t="str">
        <f t="shared" ca="1" si="15"/>
        <v>EXPIRED</v>
      </c>
      <c r="Z24" s="40"/>
      <c r="AA24" s="20" t="str">
        <f ca="1">IF(Message&lt;&gt;"",Message,IF(OR($B24&gt;RealEstate!AB$112,$B24&lt;RealEstate!AB$111),0,RealEstate!AB$109*(1+inflation+RealEstate!AB$110)^$A24))</f>
        <v>EXPIRED</v>
      </c>
      <c r="AB24" s="23" t="str">
        <f t="shared" ca="1" si="16"/>
        <v>EXPIRED</v>
      </c>
      <c r="AC24" s="23" t="str">
        <f ca="1">IF(Message&lt;&gt;"",Message,IF($B24=RealEstate!AB$111,AA24*(1+$C$3),0)+IF(O24=RealEstate!AB$112,-AA24*(1-$C$2),0))</f>
        <v>EXPIRED</v>
      </c>
      <c r="AD24" s="53" t="str">
        <f ca="1">IF(Message&lt;&gt;"",Message,+IF(AC24&lt;0,MAX(0,AA24 - RealEstate!AB$109*(1+RealEstate!AB$110)^(MAX(age,RealEstate!AB$111)-age)-Taxes!$B$11*$C24),0))</f>
        <v>EXPIRED</v>
      </c>
      <c r="AE24" s="43" t="str">
        <f ca="1">IF(Message&lt;&gt;"",Message,IF(AND(AC24&lt;=0,AA24&gt;0),+AA24*RealEstate!AB$117,0))</f>
        <v>EXPIRED</v>
      </c>
      <c r="AF24" s="23" t="str">
        <f ca="1">IF(Message&lt;&gt;"",Message,IF(AND(AC24&lt;=0,AA24&gt;0),+AA24*RealEstate!AB$118,0))</f>
        <v>EXPIRED</v>
      </c>
      <c r="AG24" s="23" t="str">
        <f ca="1">IF(Message&lt;&gt;"",Message,IF(AND(AC24&lt;=0,AA24&gt;0),+RealEstate!AB$119*$C24,0))</f>
        <v>EXPIRED</v>
      </c>
      <c r="AH24" s="44" t="str">
        <f ca="1">IF(Message&lt;&gt;"",Message,IF(AND(AC24&lt;=0,AA24&gt;0),+RealEstate!AB$120*$C24,0))</f>
        <v>EXPIRED</v>
      </c>
      <c r="AI24" s="23" t="str">
        <f ca="1">IF(Message&lt;&gt;"",Message,+AK23*RealEstate!AB$115)</f>
        <v>EXPIRED</v>
      </c>
      <c r="AJ24" s="23" t="str">
        <f ca="1">IF(Message&lt;&gt;"",Message,+IF(AC24&gt;0,-AC24*RealEstate!AB$113,IF(AK23&lt;=0.1,0,IF(AA25=0,AK23,IF(AJ23&gt;0,SUM(AI23:AJ23)-AI24,AK23/100000*AB$116-AI24)))))</f>
        <v>EXPIRED</v>
      </c>
      <c r="AK24" s="44" t="str">
        <f ca="1">IF(Message&lt;&gt;"",Message,+IF(AC24&gt;0,AC24*RealEstate!AB$113,AK23-AJ24))</f>
        <v>EXPIRED</v>
      </c>
      <c r="AL24" s="20" t="str">
        <f t="shared" ca="1" si="17"/>
        <v>EXPIRED</v>
      </c>
      <c r="AM24" s="40"/>
    </row>
    <row r="25" spans="1:39" ht="14.45" x14ac:dyDescent="0.3">
      <c r="A25" s="14">
        <f t="shared" si="18"/>
        <v>20</v>
      </c>
      <c r="B25" s="14">
        <f t="shared" si="18"/>
        <v>60</v>
      </c>
      <c r="C25" s="38">
        <f t="shared" si="0"/>
        <v>1.4859473959783542</v>
      </c>
      <c r="E25" s="23">
        <f t="shared" ca="1" si="1"/>
        <v>0</v>
      </c>
      <c r="F25" s="20">
        <f t="shared" ca="1" si="12"/>
        <v>0</v>
      </c>
      <c r="G25" s="20">
        <f t="shared" ca="1" si="13"/>
        <v>0</v>
      </c>
      <c r="H25" s="23">
        <f t="shared" ca="1" si="4"/>
        <v>0</v>
      </c>
      <c r="I25" s="20">
        <f t="shared" ca="1" si="5"/>
        <v>0</v>
      </c>
      <c r="J25" s="20">
        <f t="shared" ca="1" si="6"/>
        <v>0</v>
      </c>
      <c r="K25" s="23">
        <f t="shared" ca="1" si="7"/>
        <v>0</v>
      </c>
      <c r="L25" s="23">
        <f t="shared" ca="1" si="8"/>
        <v>0</v>
      </c>
      <c r="M25" s="40"/>
      <c r="N25" s="20" t="str">
        <f ca="1">IF(Message&lt;&gt;"",Message,IF(OR($B25&gt;RealEstate!O$112,$B25&lt;RealEstate!O$111),0,RealEstate!O$109*(1+inflation+RealEstate!O$110)^$A25))</f>
        <v>EXPIRED</v>
      </c>
      <c r="O25" s="23" t="str">
        <f t="shared" ca="1" si="14"/>
        <v>EXPIRED</v>
      </c>
      <c r="P25" s="23" t="str">
        <f ca="1">IF(Message&lt;&gt;"",Message,IF($B25=RealEstate!O$111,N25*(1+$C$3),0)+IF(B25=RealEstate!O$112,-N25*(1-$C$2),0))</f>
        <v>EXPIRED</v>
      </c>
      <c r="Q25" s="53" t="str">
        <f ca="1">IF(Message&lt;&gt;"",Message,+IF(P25&lt;0,MAX(0,N25 - RealEstate!O$109*(1+RealEstate!O$110)^(MAX(age,RealEstate!O$111)-age)-Taxes!$B$11*$C25),0))</f>
        <v>EXPIRED</v>
      </c>
      <c r="R25" s="43" t="str">
        <f ca="1">IF(Message&lt;&gt;"",Message,IF(AND(P25&lt;=0,N25&gt;0),+N25*RealEstate!O$117,0))</f>
        <v>EXPIRED</v>
      </c>
      <c r="S25" s="23" t="str">
        <f ca="1">IF(Message&lt;&gt;"",Message,IF(AND(P25&lt;=0,N25&gt;0),+N25*RealEstate!O$118,0))</f>
        <v>EXPIRED</v>
      </c>
      <c r="T25" s="23" t="str">
        <f ca="1">IF(Message&lt;&gt;"",Message,IF(AND(P25&lt;=0,N25&gt;0),+RealEstate!O$119*$C25,0))</f>
        <v>EXPIRED</v>
      </c>
      <c r="U25" s="44" t="str">
        <f ca="1">IF(Message&lt;&gt;"",Message,IF(AND(P25&lt;=0,N25&gt;0),+RealEstate!O$120*$C25,0))</f>
        <v>EXPIRED</v>
      </c>
      <c r="V25" s="23" t="str">
        <f ca="1">IF(Message&lt;&gt;"",Message,+X24*RealEstate!O$115)</f>
        <v>EXPIRED</v>
      </c>
      <c r="W25" s="23" t="str">
        <f ca="1">IF(Message&lt;&gt;"",Message,+IF(P25&gt;0,-P25*RealEstate!O$113,IF(X24&lt;=0.1,0,IF(N26=0,X24,IF(W24&gt;0,SUM(V24:W24)-V25,X24/100000*O$116-V25)))))</f>
        <v>EXPIRED</v>
      </c>
      <c r="X25" s="44" t="str">
        <f ca="1">IF(Message&lt;&gt;"",Message,+IF(P25&gt;0,P25*RealEstate!O$113,X24-W25))</f>
        <v>EXPIRED</v>
      </c>
      <c r="Y25" s="20" t="str">
        <f t="shared" ca="1" si="15"/>
        <v>EXPIRED</v>
      </c>
      <c r="Z25" s="40"/>
      <c r="AA25" s="20" t="str">
        <f ca="1">IF(Message&lt;&gt;"",Message,IF(OR($B25&gt;RealEstate!AB$112,$B25&lt;RealEstate!AB$111),0,RealEstate!AB$109*(1+inflation+RealEstate!AB$110)^$A25))</f>
        <v>EXPIRED</v>
      </c>
      <c r="AB25" s="23" t="str">
        <f t="shared" ca="1" si="16"/>
        <v>EXPIRED</v>
      </c>
      <c r="AC25" s="23" t="str">
        <f ca="1">IF(Message&lt;&gt;"",Message,IF($B25=RealEstate!AB$111,AA25*(1+$C$3),0)+IF(O25=RealEstate!AB$112,-AA25*(1-$C$2),0))</f>
        <v>EXPIRED</v>
      </c>
      <c r="AD25" s="53" t="str">
        <f ca="1">IF(Message&lt;&gt;"",Message,+IF(AC25&lt;0,MAX(0,AA25 - RealEstate!AB$109*(1+RealEstate!AB$110)^(MAX(age,RealEstate!AB$111)-age)-Taxes!$B$11*$C25),0))</f>
        <v>EXPIRED</v>
      </c>
      <c r="AE25" s="43" t="str">
        <f ca="1">IF(Message&lt;&gt;"",Message,IF(AND(AC25&lt;=0,AA25&gt;0),+AA25*RealEstate!AB$117,0))</f>
        <v>EXPIRED</v>
      </c>
      <c r="AF25" s="23" t="str">
        <f ca="1">IF(Message&lt;&gt;"",Message,IF(AND(AC25&lt;=0,AA25&gt;0),+AA25*RealEstate!AB$118,0))</f>
        <v>EXPIRED</v>
      </c>
      <c r="AG25" s="23" t="str">
        <f ca="1">IF(Message&lt;&gt;"",Message,IF(AND(AC25&lt;=0,AA25&gt;0),+RealEstate!AB$119*$C25,0))</f>
        <v>EXPIRED</v>
      </c>
      <c r="AH25" s="44" t="str">
        <f ca="1">IF(Message&lt;&gt;"",Message,IF(AND(AC25&lt;=0,AA25&gt;0),+RealEstate!AB$120*$C25,0))</f>
        <v>EXPIRED</v>
      </c>
      <c r="AI25" s="23" t="str">
        <f ca="1">IF(Message&lt;&gt;"",Message,+AK24*RealEstate!AB$115)</f>
        <v>EXPIRED</v>
      </c>
      <c r="AJ25" s="23" t="str">
        <f ca="1">IF(Message&lt;&gt;"",Message,+IF(AC25&gt;0,-AC25*RealEstate!AB$113,IF(AK24&lt;=0.1,0,IF(AA26=0,AK24,IF(AJ24&gt;0,SUM(AI24:AJ24)-AI25,AK24/100000*AB$116-AI25)))))</f>
        <v>EXPIRED</v>
      </c>
      <c r="AK25" s="44" t="str">
        <f ca="1">IF(Message&lt;&gt;"",Message,+IF(AC25&gt;0,AC25*RealEstate!AB$113,AK24-AJ25))</f>
        <v>EXPIRED</v>
      </c>
      <c r="AL25" s="20" t="str">
        <f t="shared" ca="1" si="17"/>
        <v>EXPIRED</v>
      </c>
      <c r="AM25" s="40"/>
    </row>
    <row r="26" spans="1:39" ht="14.45" x14ac:dyDescent="0.3">
      <c r="A26" s="14">
        <f t="shared" si="18"/>
        <v>21</v>
      </c>
      <c r="B26" s="14">
        <f t="shared" si="18"/>
        <v>61</v>
      </c>
      <c r="C26" s="38">
        <f t="shared" si="0"/>
        <v>1.5156663438979212</v>
      </c>
      <c r="E26" s="23">
        <f t="shared" ca="1" si="1"/>
        <v>0</v>
      </c>
      <c r="F26" s="20">
        <f t="shared" ca="1" si="12"/>
        <v>0</v>
      </c>
      <c r="G26" s="20">
        <f t="shared" ca="1" si="13"/>
        <v>0</v>
      </c>
      <c r="H26" s="23">
        <f t="shared" ca="1" si="4"/>
        <v>0</v>
      </c>
      <c r="I26" s="20">
        <f t="shared" ca="1" si="5"/>
        <v>0</v>
      </c>
      <c r="J26" s="20">
        <f t="shared" ca="1" si="6"/>
        <v>0</v>
      </c>
      <c r="K26" s="23">
        <f t="shared" ca="1" si="7"/>
        <v>0</v>
      </c>
      <c r="L26" s="23">
        <f t="shared" ca="1" si="8"/>
        <v>0</v>
      </c>
      <c r="M26" s="40"/>
      <c r="N26" s="20" t="str">
        <f ca="1">IF(Message&lt;&gt;"",Message,IF(OR($B26&gt;RealEstate!O$112,$B26&lt;RealEstate!O$111),0,RealEstate!O$109*(1+inflation+RealEstate!O$110)^$A26))</f>
        <v>EXPIRED</v>
      </c>
      <c r="O26" s="23" t="str">
        <f t="shared" ca="1" si="14"/>
        <v>EXPIRED</v>
      </c>
      <c r="P26" s="23" t="str">
        <f ca="1">IF(Message&lt;&gt;"",Message,IF($B26=RealEstate!O$111,N26*(1+$C$3),0)+IF(B26=RealEstate!O$112,-N26*(1-$C$2),0))</f>
        <v>EXPIRED</v>
      </c>
      <c r="Q26" s="53" t="str">
        <f ca="1">IF(Message&lt;&gt;"",Message,+IF(P26&lt;0,MAX(0,N26 - RealEstate!O$109*(1+RealEstate!O$110)^(MAX(age,RealEstate!O$111)-age)-Taxes!$B$11*$C26),0))</f>
        <v>EXPIRED</v>
      </c>
      <c r="R26" s="43" t="str">
        <f ca="1">IF(Message&lt;&gt;"",Message,IF(AND(P26&lt;=0,N26&gt;0),+N26*RealEstate!O$117,0))</f>
        <v>EXPIRED</v>
      </c>
      <c r="S26" s="23" t="str">
        <f ca="1">IF(Message&lt;&gt;"",Message,IF(AND(P26&lt;=0,N26&gt;0),+N26*RealEstate!O$118,0))</f>
        <v>EXPIRED</v>
      </c>
      <c r="T26" s="23" t="str">
        <f ca="1">IF(Message&lt;&gt;"",Message,IF(AND(P26&lt;=0,N26&gt;0),+RealEstate!O$119*$C26,0))</f>
        <v>EXPIRED</v>
      </c>
      <c r="U26" s="44" t="str">
        <f ca="1">IF(Message&lt;&gt;"",Message,IF(AND(P26&lt;=0,N26&gt;0),+RealEstate!O$120*$C26,0))</f>
        <v>EXPIRED</v>
      </c>
      <c r="V26" s="23" t="str">
        <f ca="1">IF(Message&lt;&gt;"",Message,+X25*RealEstate!O$115)</f>
        <v>EXPIRED</v>
      </c>
      <c r="W26" s="23" t="str">
        <f ca="1">IF(Message&lt;&gt;"",Message,+IF(P26&gt;0,-P26*RealEstate!O$113,IF(X25&lt;=0.1,0,IF(N27=0,X25,IF(W25&gt;0,SUM(V25:W25)-V26,X25/100000*O$116-V26)))))</f>
        <v>EXPIRED</v>
      </c>
      <c r="X26" s="44" t="str">
        <f ca="1">IF(Message&lt;&gt;"",Message,+IF(P26&gt;0,P26*RealEstate!O$113,X25-W26))</f>
        <v>EXPIRED</v>
      </c>
      <c r="Y26" s="20" t="str">
        <f t="shared" ca="1" si="15"/>
        <v>EXPIRED</v>
      </c>
      <c r="Z26" s="40"/>
      <c r="AA26" s="20" t="str">
        <f ca="1">IF(Message&lt;&gt;"",Message,IF(OR($B26&gt;RealEstate!AB$112,$B26&lt;RealEstate!AB$111),0,RealEstate!AB$109*(1+inflation+RealEstate!AB$110)^$A26))</f>
        <v>EXPIRED</v>
      </c>
      <c r="AB26" s="23" t="str">
        <f t="shared" ca="1" si="16"/>
        <v>EXPIRED</v>
      </c>
      <c r="AC26" s="23" t="str">
        <f ca="1">IF(Message&lt;&gt;"",Message,IF($B26=RealEstate!AB$111,AA26*(1+$C$3),0)+IF(O26=RealEstate!AB$112,-AA26*(1-$C$2),0))</f>
        <v>EXPIRED</v>
      </c>
      <c r="AD26" s="53" t="str">
        <f ca="1">IF(Message&lt;&gt;"",Message,+IF(AC26&lt;0,MAX(0,AA26 - RealEstate!AB$109*(1+RealEstate!AB$110)^(MAX(age,RealEstate!AB$111)-age)-Taxes!$B$11*$C26),0))</f>
        <v>EXPIRED</v>
      </c>
      <c r="AE26" s="43" t="str">
        <f ca="1">IF(Message&lt;&gt;"",Message,IF(AND(AC26&lt;=0,AA26&gt;0),+AA26*RealEstate!AB$117,0))</f>
        <v>EXPIRED</v>
      </c>
      <c r="AF26" s="23" t="str">
        <f ca="1">IF(Message&lt;&gt;"",Message,IF(AND(AC26&lt;=0,AA26&gt;0),+AA26*RealEstate!AB$118,0))</f>
        <v>EXPIRED</v>
      </c>
      <c r="AG26" s="23" t="str">
        <f ca="1">IF(Message&lt;&gt;"",Message,IF(AND(AC26&lt;=0,AA26&gt;0),+RealEstate!AB$119*$C26,0))</f>
        <v>EXPIRED</v>
      </c>
      <c r="AH26" s="44" t="str">
        <f ca="1">IF(Message&lt;&gt;"",Message,IF(AND(AC26&lt;=0,AA26&gt;0),+RealEstate!AB$120*$C26,0))</f>
        <v>EXPIRED</v>
      </c>
      <c r="AI26" s="23" t="str">
        <f ca="1">IF(Message&lt;&gt;"",Message,+AK25*RealEstate!AB$115)</f>
        <v>EXPIRED</v>
      </c>
      <c r="AJ26" s="23" t="str">
        <f ca="1">IF(Message&lt;&gt;"",Message,+IF(AC26&gt;0,-AC26*RealEstate!AB$113,IF(AK25&lt;=0.1,0,IF(AA27=0,AK25,IF(AJ25&gt;0,SUM(AI25:AJ25)-AI26,AK25/100000*AB$116-AI26)))))</f>
        <v>EXPIRED</v>
      </c>
      <c r="AK26" s="44" t="str">
        <f ca="1">IF(Message&lt;&gt;"",Message,+IF(AC26&gt;0,AC26*RealEstate!AB$113,AK25-AJ26))</f>
        <v>EXPIRED</v>
      </c>
      <c r="AL26" s="20" t="str">
        <f t="shared" ca="1" si="17"/>
        <v>EXPIRED</v>
      </c>
      <c r="AM26" s="40"/>
    </row>
    <row r="27" spans="1:39" ht="14.45" x14ac:dyDescent="0.3">
      <c r="A27" s="14">
        <f t="shared" si="18"/>
        <v>22</v>
      </c>
      <c r="B27" s="14">
        <f t="shared" si="18"/>
        <v>62</v>
      </c>
      <c r="C27" s="38">
        <f t="shared" si="0"/>
        <v>1.5459796707758797</v>
      </c>
      <c r="E27" s="23">
        <f t="shared" ca="1" si="1"/>
        <v>0</v>
      </c>
      <c r="F27" s="20">
        <f t="shared" ca="1" si="12"/>
        <v>0</v>
      </c>
      <c r="G27" s="20">
        <f t="shared" ca="1" si="13"/>
        <v>0</v>
      </c>
      <c r="H27" s="23">
        <f t="shared" ca="1" si="4"/>
        <v>0</v>
      </c>
      <c r="I27" s="20">
        <f t="shared" ca="1" si="5"/>
        <v>0</v>
      </c>
      <c r="J27" s="20">
        <f t="shared" ca="1" si="6"/>
        <v>0</v>
      </c>
      <c r="K27" s="23">
        <f t="shared" ca="1" si="7"/>
        <v>0</v>
      </c>
      <c r="L27" s="23">
        <f t="shared" ca="1" si="8"/>
        <v>0</v>
      </c>
      <c r="M27" s="40"/>
      <c r="N27" s="20" t="str">
        <f ca="1">IF(Message&lt;&gt;"",Message,IF(OR($B27&gt;RealEstate!O$112,$B27&lt;RealEstate!O$111),0,RealEstate!O$109*(1+inflation+RealEstate!O$110)^$A27))</f>
        <v>EXPIRED</v>
      </c>
      <c r="O27" s="23" t="str">
        <f t="shared" ca="1" si="14"/>
        <v>EXPIRED</v>
      </c>
      <c r="P27" s="23" t="str">
        <f ca="1">IF(Message&lt;&gt;"",Message,IF($B27=RealEstate!O$111,N27*(1+$C$3),0)+IF(B27=RealEstate!O$112,-N27*(1-$C$2),0))</f>
        <v>EXPIRED</v>
      </c>
      <c r="Q27" s="53" t="str">
        <f ca="1">IF(Message&lt;&gt;"",Message,+IF(P27&lt;0,MAX(0,N27 - RealEstate!O$109*(1+RealEstate!O$110)^(MAX(age,RealEstate!O$111)-age)-Taxes!$B$11*$C27),0))</f>
        <v>EXPIRED</v>
      </c>
      <c r="R27" s="43" t="str">
        <f ca="1">IF(Message&lt;&gt;"",Message,IF(AND(P27&lt;=0,N27&gt;0),+N27*RealEstate!O$117,0))</f>
        <v>EXPIRED</v>
      </c>
      <c r="S27" s="23" t="str">
        <f ca="1">IF(Message&lt;&gt;"",Message,IF(AND(P27&lt;=0,N27&gt;0),+N27*RealEstate!O$118,0))</f>
        <v>EXPIRED</v>
      </c>
      <c r="T27" s="23" t="str">
        <f ca="1">IF(Message&lt;&gt;"",Message,IF(AND(P27&lt;=0,N27&gt;0),+RealEstate!O$119*$C27,0))</f>
        <v>EXPIRED</v>
      </c>
      <c r="U27" s="44" t="str">
        <f ca="1">IF(Message&lt;&gt;"",Message,IF(AND(P27&lt;=0,N27&gt;0),+RealEstate!O$120*$C27,0))</f>
        <v>EXPIRED</v>
      </c>
      <c r="V27" s="23" t="str">
        <f ca="1">IF(Message&lt;&gt;"",Message,+X26*RealEstate!O$115)</f>
        <v>EXPIRED</v>
      </c>
      <c r="W27" s="23" t="str">
        <f ca="1">IF(Message&lt;&gt;"",Message,+IF(P27&gt;0,-P27*RealEstate!O$113,IF(X26&lt;=0.1,0,IF(N28=0,X26,IF(W26&gt;0,SUM(V26:W26)-V27,X26/100000*O$116-V27)))))</f>
        <v>EXPIRED</v>
      </c>
      <c r="X27" s="44" t="str">
        <f ca="1">IF(Message&lt;&gt;"",Message,+IF(P27&gt;0,P27*RealEstate!O$113,X26-W27))</f>
        <v>EXPIRED</v>
      </c>
      <c r="Y27" s="20" t="str">
        <f t="shared" ca="1" si="15"/>
        <v>EXPIRED</v>
      </c>
      <c r="Z27" s="40"/>
      <c r="AA27" s="20" t="str">
        <f ca="1">IF(Message&lt;&gt;"",Message,IF(OR($B27&gt;RealEstate!AB$112,$B27&lt;RealEstate!AB$111),0,RealEstate!AB$109*(1+inflation+RealEstate!AB$110)^$A27))</f>
        <v>EXPIRED</v>
      </c>
      <c r="AB27" s="23" t="str">
        <f t="shared" ca="1" si="16"/>
        <v>EXPIRED</v>
      </c>
      <c r="AC27" s="23" t="str">
        <f ca="1">IF(Message&lt;&gt;"",Message,IF($B27=RealEstate!AB$111,AA27*(1+$C$3),0)+IF(O27=RealEstate!AB$112,-AA27*(1-$C$2),0))</f>
        <v>EXPIRED</v>
      </c>
      <c r="AD27" s="53" t="str">
        <f ca="1">IF(Message&lt;&gt;"",Message,+IF(AC27&lt;0,MAX(0,AA27 - RealEstate!AB$109*(1+RealEstate!AB$110)^(MAX(age,RealEstate!AB$111)-age)-Taxes!$B$11*$C27),0))</f>
        <v>EXPIRED</v>
      </c>
      <c r="AE27" s="43" t="str">
        <f ca="1">IF(Message&lt;&gt;"",Message,IF(AND(AC27&lt;=0,AA27&gt;0),+AA27*RealEstate!AB$117,0))</f>
        <v>EXPIRED</v>
      </c>
      <c r="AF27" s="23" t="str">
        <f ca="1">IF(Message&lt;&gt;"",Message,IF(AND(AC27&lt;=0,AA27&gt;0),+AA27*RealEstate!AB$118,0))</f>
        <v>EXPIRED</v>
      </c>
      <c r="AG27" s="23" t="str">
        <f ca="1">IF(Message&lt;&gt;"",Message,IF(AND(AC27&lt;=0,AA27&gt;0),+RealEstate!AB$119*$C27,0))</f>
        <v>EXPIRED</v>
      </c>
      <c r="AH27" s="44" t="str">
        <f ca="1">IF(Message&lt;&gt;"",Message,IF(AND(AC27&lt;=0,AA27&gt;0),+RealEstate!AB$120*$C27,0))</f>
        <v>EXPIRED</v>
      </c>
      <c r="AI27" s="23" t="str">
        <f ca="1">IF(Message&lt;&gt;"",Message,+AK26*RealEstate!AB$115)</f>
        <v>EXPIRED</v>
      </c>
      <c r="AJ27" s="23" t="str">
        <f ca="1">IF(Message&lt;&gt;"",Message,+IF(AC27&gt;0,-AC27*RealEstate!AB$113,IF(AK26&lt;=0.1,0,IF(AA28=0,AK26,IF(AJ26&gt;0,SUM(AI26:AJ26)-AI27,AK26/100000*AB$116-AI27)))))</f>
        <v>EXPIRED</v>
      </c>
      <c r="AK27" s="44" t="str">
        <f ca="1">IF(Message&lt;&gt;"",Message,+IF(AC27&gt;0,AC27*RealEstate!AB$113,AK26-AJ27))</f>
        <v>EXPIRED</v>
      </c>
      <c r="AL27" s="20" t="str">
        <f t="shared" ca="1" si="17"/>
        <v>EXPIRED</v>
      </c>
      <c r="AM27" s="40"/>
    </row>
    <row r="28" spans="1:39" ht="14.45" x14ac:dyDescent="0.3">
      <c r="A28" s="14">
        <f t="shared" si="18"/>
        <v>23</v>
      </c>
      <c r="B28" s="14">
        <f t="shared" si="18"/>
        <v>63</v>
      </c>
      <c r="C28" s="38">
        <f t="shared" si="0"/>
        <v>1.576899264191397</v>
      </c>
      <c r="E28" s="23">
        <f t="shared" ca="1" si="1"/>
        <v>0</v>
      </c>
      <c r="F28" s="20">
        <f t="shared" ca="1" si="12"/>
        <v>0</v>
      </c>
      <c r="G28" s="20">
        <f t="shared" ca="1" si="13"/>
        <v>0</v>
      </c>
      <c r="H28" s="23">
        <f t="shared" ca="1" si="4"/>
        <v>0</v>
      </c>
      <c r="I28" s="20">
        <f t="shared" ca="1" si="5"/>
        <v>0</v>
      </c>
      <c r="J28" s="20">
        <f t="shared" ca="1" si="6"/>
        <v>0</v>
      </c>
      <c r="K28" s="23">
        <f t="shared" ca="1" si="7"/>
        <v>0</v>
      </c>
      <c r="L28" s="23">
        <f t="shared" ca="1" si="8"/>
        <v>0</v>
      </c>
      <c r="M28" s="40"/>
      <c r="N28" s="20" t="str">
        <f ca="1">IF(Message&lt;&gt;"",Message,IF(OR($B28&gt;RealEstate!O$112,$B28&lt;RealEstate!O$111),0,RealEstate!O$109*(1+inflation+RealEstate!O$110)^$A28))</f>
        <v>EXPIRED</v>
      </c>
      <c r="O28" s="23" t="str">
        <f t="shared" ca="1" si="14"/>
        <v>EXPIRED</v>
      </c>
      <c r="P28" s="23" t="str">
        <f ca="1">IF(Message&lt;&gt;"",Message,IF($B28=RealEstate!O$111,N28*(1+$C$3),0)+IF(B28=RealEstate!O$112,-N28*(1-$C$2),0))</f>
        <v>EXPIRED</v>
      </c>
      <c r="Q28" s="53" t="str">
        <f ca="1">IF(Message&lt;&gt;"",Message,+IF(P28&lt;0,MAX(0,N28 - RealEstate!O$109*(1+RealEstate!O$110)^(MAX(age,RealEstate!O$111)-age)-Taxes!$B$11*$C28),0))</f>
        <v>EXPIRED</v>
      </c>
      <c r="R28" s="43" t="str">
        <f ca="1">IF(Message&lt;&gt;"",Message,IF(AND(P28&lt;=0,N28&gt;0),+N28*RealEstate!O$117,0))</f>
        <v>EXPIRED</v>
      </c>
      <c r="S28" s="23" t="str">
        <f ca="1">IF(Message&lt;&gt;"",Message,IF(AND(P28&lt;=0,N28&gt;0),+N28*RealEstate!O$118,0))</f>
        <v>EXPIRED</v>
      </c>
      <c r="T28" s="23" t="str">
        <f ca="1">IF(Message&lt;&gt;"",Message,IF(AND(P28&lt;=0,N28&gt;0),+RealEstate!O$119*$C28,0))</f>
        <v>EXPIRED</v>
      </c>
      <c r="U28" s="44" t="str">
        <f ca="1">IF(Message&lt;&gt;"",Message,IF(AND(P28&lt;=0,N28&gt;0),+RealEstate!O$120*$C28,0))</f>
        <v>EXPIRED</v>
      </c>
      <c r="V28" s="23" t="str">
        <f ca="1">IF(Message&lt;&gt;"",Message,+X27*RealEstate!O$115)</f>
        <v>EXPIRED</v>
      </c>
      <c r="W28" s="23" t="str">
        <f ca="1">IF(Message&lt;&gt;"",Message,+IF(P28&gt;0,-P28*RealEstate!O$113,IF(X27&lt;=0.1,0,IF(N29=0,X27,IF(W27&gt;0,SUM(V27:W27)-V28,X27/100000*O$116-V28)))))</f>
        <v>EXPIRED</v>
      </c>
      <c r="X28" s="44" t="str">
        <f ca="1">IF(Message&lt;&gt;"",Message,+IF(P28&gt;0,P28*RealEstate!O$113,X27-W28))</f>
        <v>EXPIRED</v>
      </c>
      <c r="Y28" s="20" t="str">
        <f t="shared" ca="1" si="15"/>
        <v>EXPIRED</v>
      </c>
      <c r="Z28" s="40"/>
      <c r="AA28" s="20" t="str">
        <f ca="1">IF(Message&lt;&gt;"",Message,IF(OR($B28&gt;RealEstate!AB$112,$B28&lt;RealEstate!AB$111),0,RealEstate!AB$109*(1+inflation+RealEstate!AB$110)^$A28))</f>
        <v>EXPIRED</v>
      </c>
      <c r="AB28" s="23" t="str">
        <f t="shared" ca="1" si="16"/>
        <v>EXPIRED</v>
      </c>
      <c r="AC28" s="23" t="str">
        <f ca="1">IF(Message&lt;&gt;"",Message,IF($B28=RealEstate!AB$111,AA28*(1+$C$3),0)+IF(O28=RealEstate!AB$112,-AA28*(1-$C$2),0))</f>
        <v>EXPIRED</v>
      </c>
      <c r="AD28" s="53" t="str">
        <f ca="1">IF(Message&lt;&gt;"",Message,+IF(AC28&lt;0,MAX(0,AA28 - RealEstate!AB$109*(1+RealEstate!AB$110)^(MAX(age,RealEstate!AB$111)-age)-Taxes!$B$11*$C28),0))</f>
        <v>EXPIRED</v>
      </c>
      <c r="AE28" s="43" t="str">
        <f ca="1">IF(Message&lt;&gt;"",Message,IF(AND(AC28&lt;=0,AA28&gt;0),+AA28*RealEstate!AB$117,0))</f>
        <v>EXPIRED</v>
      </c>
      <c r="AF28" s="23" t="str">
        <f ca="1">IF(Message&lt;&gt;"",Message,IF(AND(AC28&lt;=0,AA28&gt;0),+AA28*RealEstate!AB$118,0))</f>
        <v>EXPIRED</v>
      </c>
      <c r="AG28" s="23" t="str">
        <f ca="1">IF(Message&lt;&gt;"",Message,IF(AND(AC28&lt;=0,AA28&gt;0),+RealEstate!AB$119*$C28,0))</f>
        <v>EXPIRED</v>
      </c>
      <c r="AH28" s="44" t="str">
        <f ca="1">IF(Message&lt;&gt;"",Message,IF(AND(AC28&lt;=0,AA28&gt;0),+RealEstate!AB$120*$C28,0))</f>
        <v>EXPIRED</v>
      </c>
      <c r="AI28" s="23" t="str">
        <f ca="1">IF(Message&lt;&gt;"",Message,+AK27*RealEstate!AB$115)</f>
        <v>EXPIRED</v>
      </c>
      <c r="AJ28" s="23" t="str">
        <f ca="1">IF(Message&lt;&gt;"",Message,+IF(AC28&gt;0,-AC28*RealEstate!AB$113,IF(AK27&lt;=0.1,0,IF(AA29=0,AK27,IF(AJ27&gt;0,SUM(AI27:AJ27)-AI28,AK27/100000*AB$116-AI28)))))</f>
        <v>EXPIRED</v>
      </c>
      <c r="AK28" s="44" t="str">
        <f ca="1">IF(Message&lt;&gt;"",Message,+IF(AC28&gt;0,AC28*RealEstate!AB$113,AK27-AJ28))</f>
        <v>EXPIRED</v>
      </c>
      <c r="AL28" s="20" t="str">
        <f t="shared" ca="1" si="17"/>
        <v>EXPIRED</v>
      </c>
      <c r="AM28" s="40"/>
    </row>
    <row r="29" spans="1:39" ht="14.45" x14ac:dyDescent="0.3">
      <c r="A29" s="14">
        <f t="shared" si="18"/>
        <v>24</v>
      </c>
      <c r="B29" s="14">
        <f t="shared" si="18"/>
        <v>64</v>
      </c>
      <c r="C29" s="38">
        <f t="shared" si="0"/>
        <v>1.608437249475225</v>
      </c>
      <c r="E29" s="23">
        <f t="shared" ca="1" si="1"/>
        <v>0</v>
      </c>
      <c r="F29" s="20">
        <f t="shared" ca="1" si="12"/>
        <v>0</v>
      </c>
      <c r="G29" s="20">
        <f t="shared" ca="1" si="13"/>
        <v>0</v>
      </c>
      <c r="H29" s="23">
        <f t="shared" ca="1" si="4"/>
        <v>0</v>
      </c>
      <c r="I29" s="20">
        <f t="shared" ca="1" si="5"/>
        <v>0</v>
      </c>
      <c r="J29" s="20">
        <f t="shared" ca="1" si="6"/>
        <v>0</v>
      </c>
      <c r="K29" s="23">
        <f t="shared" ca="1" si="7"/>
        <v>0</v>
      </c>
      <c r="L29" s="23">
        <f t="shared" ca="1" si="8"/>
        <v>0</v>
      </c>
      <c r="M29" s="40"/>
      <c r="N29" s="20" t="str">
        <f ca="1">IF(Message&lt;&gt;"",Message,IF(OR($B29&gt;RealEstate!O$112,$B29&lt;RealEstate!O$111),0,RealEstate!O$109*(1+inflation+RealEstate!O$110)^$A29))</f>
        <v>EXPIRED</v>
      </c>
      <c r="O29" s="23" t="str">
        <f t="shared" ca="1" si="14"/>
        <v>EXPIRED</v>
      </c>
      <c r="P29" s="23" t="str">
        <f ca="1">IF(Message&lt;&gt;"",Message,IF($B29=RealEstate!O$111,N29*(1+$C$3),0)+IF(B29=RealEstate!O$112,-N29*(1-$C$2),0))</f>
        <v>EXPIRED</v>
      </c>
      <c r="Q29" s="53" t="str">
        <f ca="1">IF(Message&lt;&gt;"",Message,+IF(P29&lt;0,MAX(0,N29 - RealEstate!O$109*(1+RealEstate!O$110)^(MAX(age,RealEstate!O$111)-age)-Taxes!$B$11*$C29),0))</f>
        <v>EXPIRED</v>
      </c>
      <c r="R29" s="43" t="str">
        <f ca="1">IF(Message&lt;&gt;"",Message,IF(AND(P29&lt;=0,N29&gt;0),+N29*RealEstate!O$117,0))</f>
        <v>EXPIRED</v>
      </c>
      <c r="S29" s="23" t="str">
        <f ca="1">IF(Message&lt;&gt;"",Message,IF(AND(P29&lt;=0,N29&gt;0),+N29*RealEstate!O$118,0))</f>
        <v>EXPIRED</v>
      </c>
      <c r="T29" s="23" t="str">
        <f ca="1">IF(Message&lt;&gt;"",Message,IF(AND(P29&lt;=0,N29&gt;0),+RealEstate!O$119*$C29,0))</f>
        <v>EXPIRED</v>
      </c>
      <c r="U29" s="44" t="str">
        <f ca="1">IF(Message&lt;&gt;"",Message,IF(AND(P29&lt;=0,N29&gt;0),+RealEstate!O$120*$C29,0))</f>
        <v>EXPIRED</v>
      </c>
      <c r="V29" s="23" t="str">
        <f ca="1">IF(Message&lt;&gt;"",Message,+X28*RealEstate!O$115)</f>
        <v>EXPIRED</v>
      </c>
      <c r="W29" s="23" t="str">
        <f ca="1">IF(Message&lt;&gt;"",Message,+IF(P29&gt;0,-P29*RealEstate!O$113,IF(X28&lt;=0.1,0,IF(N30=0,X28,IF(W28&gt;0,SUM(V28:W28)-V29,X28/100000*O$116-V29)))))</f>
        <v>EXPIRED</v>
      </c>
      <c r="X29" s="44" t="str">
        <f ca="1">IF(Message&lt;&gt;"",Message,+IF(P29&gt;0,P29*RealEstate!O$113,X28-W29))</f>
        <v>EXPIRED</v>
      </c>
      <c r="Y29" s="20" t="str">
        <f t="shared" ca="1" si="15"/>
        <v>EXPIRED</v>
      </c>
      <c r="Z29" s="40"/>
      <c r="AA29" s="20" t="str">
        <f ca="1">IF(Message&lt;&gt;"",Message,IF(OR($B29&gt;RealEstate!AB$112,$B29&lt;RealEstate!AB$111),0,RealEstate!AB$109*(1+inflation+RealEstate!AB$110)^$A29))</f>
        <v>EXPIRED</v>
      </c>
      <c r="AB29" s="23" t="str">
        <f t="shared" ca="1" si="16"/>
        <v>EXPIRED</v>
      </c>
      <c r="AC29" s="23" t="str">
        <f ca="1">IF(Message&lt;&gt;"",Message,IF($B29=RealEstate!AB$111,AA29*(1+$C$3),0)+IF(O29=RealEstate!AB$112,-AA29*(1-$C$2),0))</f>
        <v>EXPIRED</v>
      </c>
      <c r="AD29" s="53" t="str">
        <f ca="1">IF(Message&lt;&gt;"",Message,+IF(AC29&lt;0,MAX(0,AA29 - RealEstate!AB$109*(1+RealEstate!AB$110)^(MAX(age,RealEstate!AB$111)-age)-Taxes!$B$11*$C29),0))</f>
        <v>EXPIRED</v>
      </c>
      <c r="AE29" s="43" t="str">
        <f ca="1">IF(Message&lt;&gt;"",Message,IF(AND(AC29&lt;=0,AA29&gt;0),+AA29*RealEstate!AB$117,0))</f>
        <v>EXPIRED</v>
      </c>
      <c r="AF29" s="23" t="str">
        <f ca="1">IF(Message&lt;&gt;"",Message,IF(AND(AC29&lt;=0,AA29&gt;0),+AA29*RealEstate!AB$118,0))</f>
        <v>EXPIRED</v>
      </c>
      <c r="AG29" s="23" t="str">
        <f ca="1">IF(Message&lt;&gt;"",Message,IF(AND(AC29&lt;=0,AA29&gt;0),+RealEstate!AB$119*$C29,0))</f>
        <v>EXPIRED</v>
      </c>
      <c r="AH29" s="44" t="str">
        <f ca="1">IF(Message&lt;&gt;"",Message,IF(AND(AC29&lt;=0,AA29&gt;0),+RealEstate!AB$120*$C29,0))</f>
        <v>EXPIRED</v>
      </c>
      <c r="AI29" s="23" t="str">
        <f ca="1">IF(Message&lt;&gt;"",Message,+AK28*RealEstate!AB$115)</f>
        <v>EXPIRED</v>
      </c>
      <c r="AJ29" s="23" t="str">
        <f ca="1">IF(Message&lt;&gt;"",Message,+IF(AC29&gt;0,-AC29*RealEstate!AB$113,IF(AK28&lt;=0.1,0,IF(AA30=0,AK28,IF(AJ28&gt;0,SUM(AI28:AJ28)-AI29,AK28/100000*AB$116-AI29)))))</f>
        <v>EXPIRED</v>
      </c>
      <c r="AK29" s="44" t="str">
        <f ca="1">IF(Message&lt;&gt;"",Message,+IF(AC29&gt;0,AC29*RealEstate!AB$113,AK28-AJ29))</f>
        <v>EXPIRED</v>
      </c>
      <c r="AL29" s="20" t="str">
        <f t="shared" ca="1" si="17"/>
        <v>EXPIRED</v>
      </c>
      <c r="AM29" s="40"/>
    </row>
    <row r="30" spans="1:39" ht="14.45" x14ac:dyDescent="0.3">
      <c r="A30" s="14">
        <f t="shared" si="18"/>
        <v>25</v>
      </c>
      <c r="B30" s="14">
        <f t="shared" si="18"/>
        <v>65</v>
      </c>
      <c r="C30" s="38">
        <f t="shared" si="0"/>
        <v>1.6406059944647295</v>
      </c>
      <c r="E30" s="23">
        <f t="shared" ca="1" si="1"/>
        <v>0</v>
      </c>
      <c r="F30" s="20">
        <f t="shared" ca="1" si="12"/>
        <v>0</v>
      </c>
      <c r="G30" s="20">
        <f t="shared" ca="1" si="13"/>
        <v>0</v>
      </c>
      <c r="H30" s="23">
        <f t="shared" ca="1" si="4"/>
        <v>0</v>
      </c>
      <c r="I30" s="20">
        <f t="shared" ca="1" si="5"/>
        <v>0</v>
      </c>
      <c r="J30" s="20">
        <f t="shared" ca="1" si="6"/>
        <v>0</v>
      </c>
      <c r="K30" s="23">
        <f t="shared" ca="1" si="7"/>
        <v>0</v>
      </c>
      <c r="L30" s="23">
        <f t="shared" ca="1" si="8"/>
        <v>0</v>
      </c>
      <c r="M30" s="40"/>
      <c r="N30" s="20" t="str">
        <f ca="1">IF(Message&lt;&gt;"",Message,IF(OR($B30&gt;RealEstate!O$112,$B30&lt;RealEstate!O$111),0,RealEstate!O$109*(1+inflation+RealEstate!O$110)^$A30))</f>
        <v>EXPIRED</v>
      </c>
      <c r="O30" s="23" t="str">
        <f t="shared" ca="1" si="14"/>
        <v>EXPIRED</v>
      </c>
      <c r="P30" s="23" t="str">
        <f ca="1">IF(Message&lt;&gt;"",Message,IF($B30=RealEstate!O$111,N30*(1+$C$3),0)+IF(B30=RealEstate!O$112,-N30*(1-$C$2),0))</f>
        <v>EXPIRED</v>
      </c>
      <c r="Q30" s="53" t="str">
        <f ca="1">IF(Message&lt;&gt;"",Message,+IF(P30&lt;0,MAX(0,N30 - RealEstate!O$109*(1+RealEstate!O$110)^(MAX(age,RealEstate!O$111)-age)-Taxes!$B$11*$C30),0))</f>
        <v>EXPIRED</v>
      </c>
      <c r="R30" s="43" t="str">
        <f ca="1">IF(Message&lt;&gt;"",Message,IF(AND(P30&lt;=0,N30&gt;0),+N30*RealEstate!O$117,0))</f>
        <v>EXPIRED</v>
      </c>
      <c r="S30" s="23" t="str">
        <f ca="1">IF(Message&lt;&gt;"",Message,IF(AND(P30&lt;=0,N30&gt;0),+N30*RealEstate!O$118,0))</f>
        <v>EXPIRED</v>
      </c>
      <c r="T30" s="23" t="str">
        <f ca="1">IF(Message&lt;&gt;"",Message,IF(AND(P30&lt;=0,N30&gt;0),+RealEstate!O$119*$C30,0))</f>
        <v>EXPIRED</v>
      </c>
      <c r="U30" s="44" t="str">
        <f ca="1">IF(Message&lt;&gt;"",Message,IF(AND(P30&lt;=0,N30&gt;0),+RealEstate!O$120*$C30,0))</f>
        <v>EXPIRED</v>
      </c>
      <c r="V30" s="23" t="str">
        <f ca="1">IF(Message&lt;&gt;"",Message,+X29*RealEstate!O$115)</f>
        <v>EXPIRED</v>
      </c>
      <c r="W30" s="23" t="str">
        <f ca="1">IF(Message&lt;&gt;"",Message,+IF(P30&gt;0,-P30*RealEstate!O$113,IF(X29&lt;=0.1,0,IF(N31=0,X29,IF(W29&gt;0,SUM(V29:W29)-V30,X29/100000*O$116-V30)))))</f>
        <v>EXPIRED</v>
      </c>
      <c r="X30" s="44" t="str">
        <f ca="1">IF(Message&lt;&gt;"",Message,+IF(P30&gt;0,P30*RealEstate!O$113,X29-W30))</f>
        <v>EXPIRED</v>
      </c>
      <c r="Y30" s="20" t="str">
        <f t="shared" ca="1" si="15"/>
        <v>EXPIRED</v>
      </c>
      <c r="Z30" s="40"/>
      <c r="AA30" s="20" t="str">
        <f ca="1">IF(Message&lt;&gt;"",Message,IF(OR($B30&gt;RealEstate!AB$112,$B30&lt;RealEstate!AB$111),0,RealEstate!AB$109*(1+inflation+RealEstate!AB$110)^$A30))</f>
        <v>EXPIRED</v>
      </c>
      <c r="AB30" s="23" t="str">
        <f t="shared" ca="1" si="16"/>
        <v>EXPIRED</v>
      </c>
      <c r="AC30" s="23" t="str">
        <f ca="1">IF(Message&lt;&gt;"",Message,IF($B30=RealEstate!AB$111,AA30*(1+$C$3),0)+IF(O30=RealEstate!AB$112,-AA30*(1-$C$2),0))</f>
        <v>EXPIRED</v>
      </c>
      <c r="AD30" s="53" t="str">
        <f ca="1">IF(Message&lt;&gt;"",Message,+IF(AC30&lt;0,MAX(0,AA30 - RealEstate!AB$109*(1+RealEstate!AB$110)^(MAX(age,RealEstate!AB$111)-age)-Taxes!$B$11*$C30),0))</f>
        <v>EXPIRED</v>
      </c>
      <c r="AE30" s="43" t="str">
        <f ca="1">IF(Message&lt;&gt;"",Message,IF(AND(AC30&lt;=0,AA30&gt;0),+AA30*RealEstate!AB$117,0))</f>
        <v>EXPIRED</v>
      </c>
      <c r="AF30" s="23" t="str">
        <f ca="1">IF(Message&lt;&gt;"",Message,IF(AND(AC30&lt;=0,AA30&gt;0),+AA30*RealEstate!AB$118,0))</f>
        <v>EXPIRED</v>
      </c>
      <c r="AG30" s="23" t="str">
        <f ca="1">IF(Message&lt;&gt;"",Message,IF(AND(AC30&lt;=0,AA30&gt;0),+RealEstate!AB$119*$C30,0))</f>
        <v>EXPIRED</v>
      </c>
      <c r="AH30" s="44" t="str">
        <f ca="1">IF(Message&lt;&gt;"",Message,IF(AND(AC30&lt;=0,AA30&gt;0),+RealEstate!AB$120*$C30,0))</f>
        <v>EXPIRED</v>
      </c>
      <c r="AI30" s="23" t="str">
        <f ca="1">IF(Message&lt;&gt;"",Message,+AK29*RealEstate!AB$115)</f>
        <v>EXPIRED</v>
      </c>
      <c r="AJ30" s="23" t="str">
        <f ca="1">IF(Message&lt;&gt;"",Message,+IF(AC30&gt;0,-AC30*RealEstate!AB$113,IF(AK29&lt;=0.1,0,IF(AA31=0,AK29,IF(AJ29&gt;0,SUM(AI29:AJ29)-AI30,AK29/100000*AB$116-AI30)))))</f>
        <v>EXPIRED</v>
      </c>
      <c r="AK30" s="44" t="str">
        <f ca="1">IF(Message&lt;&gt;"",Message,+IF(AC30&gt;0,AC30*RealEstate!AB$113,AK29-AJ30))</f>
        <v>EXPIRED</v>
      </c>
      <c r="AL30" s="20" t="str">
        <f t="shared" ca="1" si="17"/>
        <v>EXPIRED</v>
      </c>
      <c r="AM30" s="40"/>
    </row>
    <row r="31" spans="1:39" ht="14.45" x14ac:dyDescent="0.3">
      <c r="A31" s="14">
        <f t="shared" si="18"/>
        <v>26</v>
      </c>
      <c r="B31" s="14">
        <f t="shared" si="18"/>
        <v>66</v>
      </c>
      <c r="C31" s="38">
        <f t="shared" si="0"/>
        <v>1.6734181143540243</v>
      </c>
      <c r="E31" s="23">
        <f t="shared" ca="1" si="1"/>
        <v>0</v>
      </c>
      <c r="F31" s="20">
        <f t="shared" ca="1" si="12"/>
        <v>0</v>
      </c>
      <c r="G31" s="20">
        <f t="shared" ca="1" si="13"/>
        <v>0</v>
      </c>
      <c r="H31" s="23">
        <f t="shared" ca="1" si="4"/>
        <v>0</v>
      </c>
      <c r="I31" s="20">
        <f t="shared" ca="1" si="5"/>
        <v>0</v>
      </c>
      <c r="J31" s="20">
        <f t="shared" ca="1" si="6"/>
        <v>0</v>
      </c>
      <c r="K31" s="23">
        <f t="shared" ca="1" si="7"/>
        <v>0</v>
      </c>
      <c r="L31" s="23">
        <f t="shared" ca="1" si="8"/>
        <v>0</v>
      </c>
      <c r="M31" s="40"/>
      <c r="N31" s="20" t="str">
        <f ca="1">IF(Message&lt;&gt;"",Message,IF(OR($B31&gt;RealEstate!O$112,$B31&lt;RealEstate!O$111),0,RealEstate!O$109*(1+inflation+RealEstate!O$110)^$A31))</f>
        <v>EXPIRED</v>
      </c>
      <c r="O31" s="23" t="str">
        <f t="shared" ca="1" si="14"/>
        <v>EXPIRED</v>
      </c>
      <c r="P31" s="23" t="str">
        <f ca="1">IF(Message&lt;&gt;"",Message,IF($B31=RealEstate!O$111,N31*(1+$C$3),0)+IF(B31=RealEstate!O$112,-N31*(1-$C$2),0))</f>
        <v>EXPIRED</v>
      </c>
      <c r="Q31" s="53" t="str">
        <f ca="1">IF(Message&lt;&gt;"",Message,+IF(P31&lt;0,MAX(0,N31 - RealEstate!O$109*(1+RealEstate!O$110)^(MAX(age,RealEstate!O$111)-age)-Taxes!$B$11*$C31),0))</f>
        <v>EXPIRED</v>
      </c>
      <c r="R31" s="43" t="str">
        <f ca="1">IF(Message&lt;&gt;"",Message,IF(AND(P31&lt;=0,N31&gt;0),+N31*RealEstate!O$117,0))</f>
        <v>EXPIRED</v>
      </c>
      <c r="S31" s="23" t="str">
        <f ca="1">IF(Message&lt;&gt;"",Message,IF(AND(P31&lt;=0,N31&gt;0),+N31*RealEstate!O$118,0))</f>
        <v>EXPIRED</v>
      </c>
      <c r="T31" s="23" t="str">
        <f ca="1">IF(Message&lt;&gt;"",Message,IF(AND(P31&lt;=0,N31&gt;0),+RealEstate!O$119*$C31,0))</f>
        <v>EXPIRED</v>
      </c>
      <c r="U31" s="44" t="str">
        <f ca="1">IF(Message&lt;&gt;"",Message,IF(AND(P31&lt;=0,N31&gt;0),+RealEstate!O$120*$C31,0))</f>
        <v>EXPIRED</v>
      </c>
      <c r="V31" s="23" t="str">
        <f ca="1">IF(Message&lt;&gt;"",Message,+X30*RealEstate!O$115)</f>
        <v>EXPIRED</v>
      </c>
      <c r="W31" s="23" t="str">
        <f ca="1">IF(Message&lt;&gt;"",Message,+IF(P31&gt;0,-P31*RealEstate!O$113,IF(X30&lt;=0.1,0,IF(N32=0,X30,IF(W30&gt;0,SUM(V30:W30)-V31,X30/100000*O$116-V31)))))</f>
        <v>EXPIRED</v>
      </c>
      <c r="X31" s="44" t="str">
        <f ca="1">IF(Message&lt;&gt;"",Message,+IF(P31&gt;0,P31*RealEstate!O$113,X30-W31))</f>
        <v>EXPIRED</v>
      </c>
      <c r="Y31" s="20" t="str">
        <f t="shared" ca="1" si="15"/>
        <v>EXPIRED</v>
      </c>
      <c r="Z31" s="40"/>
      <c r="AA31" s="20" t="str">
        <f ca="1">IF(Message&lt;&gt;"",Message,IF(OR($B31&gt;RealEstate!AB$112,$B31&lt;RealEstate!AB$111),0,RealEstate!AB$109*(1+inflation+RealEstate!AB$110)^$A31))</f>
        <v>EXPIRED</v>
      </c>
      <c r="AB31" s="23" t="str">
        <f t="shared" ca="1" si="16"/>
        <v>EXPIRED</v>
      </c>
      <c r="AC31" s="23" t="str">
        <f ca="1">IF(Message&lt;&gt;"",Message,IF($B31=RealEstate!AB$111,AA31*(1+$C$3),0)+IF(O31=RealEstate!AB$112,-AA31*(1-$C$2),0))</f>
        <v>EXPIRED</v>
      </c>
      <c r="AD31" s="53" t="str">
        <f ca="1">IF(Message&lt;&gt;"",Message,+IF(AC31&lt;0,MAX(0,AA31 - RealEstate!AB$109*(1+RealEstate!AB$110)^(MAX(age,RealEstate!AB$111)-age)-Taxes!$B$11*$C31),0))</f>
        <v>EXPIRED</v>
      </c>
      <c r="AE31" s="43" t="str">
        <f ca="1">IF(Message&lt;&gt;"",Message,IF(AND(AC31&lt;=0,AA31&gt;0),+AA31*RealEstate!AB$117,0))</f>
        <v>EXPIRED</v>
      </c>
      <c r="AF31" s="23" t="str">
        <f ca="1">IF(Message&lt;&gt;"",Message,IF(AND(AC31&lt;=0,AA31&gt;0),+AA31*RealEstate!AB$118,0))</f>
        <v>EXPIRED</v>
      </c>
      <c r="AG31" s="23" t="str">
        <f ca="1">IF(Message&lt;&gt;"",Message,IF(AND(AC31&lt;=0,AA31&gt;0),+RealEstate!AB$119*$C31,0))</f>
        <v>EXPIRED</v>
      </c>
      <c r="AH31" s="44" t="str">
        <f ca="1">IF(Message&lt;&gt;"",Message,IF(AND(AC31&lt;=0,AA31&gt;0),+RealEstate!AB$120*$C31,0))</f>
        <v>EXPIRED</v>
      </c>
      <c r="AI31" s="23" t="str">
        <f ca="1">IF(Message&lt;&gt;"",Message,+AK30*RealEstate!AB$115)</f>
        <v>EXPIRED</v>
      </c>
      <c r="AJ31" s="23" t="str">
        <f ca="1">IF(Message&lt;&gt;"",Message,+IF(AC31&gt;0,-AC31*RealEstate!AB$113,IF(AK30&lt;=0.1,0,IF(AA32=0,AK30,IF(AJ30&gt;0,SUM(AI30:AJ30)-AI31,AK30/100000*AB$116-AI31)))))</f>
        <v>EXPIRED</v>
      </c>
      <c r="AK31" s="44" t="str">
        <f ca="1">IF(Message&lt;&gt;"",Message,+IF(AC31&gt;0,AC31*RealEstate!AB$113,AK30-AJ31))</f>
        <v>EXPIRED</v>
      </c>
      <c r="AL31" s="20" t="str">
        <f t="shared" ca="1" si="17"/>
        <v>EXPIRED</v>
      </c>
      <c r="AM31" s="40"/>
    </row>
    <row r="32" spans="1:39" ht="14.45" x14ac:dyDescent="0.3">
      <c r="A32" s="14">
        <f t="shared" si="18"/>
        <v>27</v>
      </c>
      <c r="B32" s="14">
        <f t="shared" si="18"/>
        <v>67</v>
      </c>
      <c r="C32" s="38">
        <f t="shared" si="0"/>
        <v>1.7068864766411045</v>
      </c>
      <c r="E32" s="23">
        <f t="shared" ca="1" si="1"/>
        <v>0</v>
      </c>
      <c r="F32" s="20">
        <f t="shared" ca="1" si="12"/>
        <v>0</v>
      </c>
      <c r="G32" s="20">
        <f t="shared" ca="1" si="13"/>
        <v>0</v>
      </c>
      <c r="H32" s="23">
        <f t="shared" ca="1" si="4"/>
        <v>0</v>
      </c>
      <c r="I32" s="20">
        <f t="shared" ca="1" si="5"/>
        <v>0</v>
      </c>
      <c r="J32" s="20">
        <f t="shared" ca="1" si="6"/>
        <v>0</v>
      </c>
      <c r="K32" s="23">
        <f ca="1">+L32+F32</f>
        <v>0</v>
      </c>
      <c r="L32" s="23">
        <f t="shared" ca="1" si="8"/>
        <v>0</v>
      </c>
      <c r="M32" s="40"/>
      <c r="N32" s="20" t="str">
        <f ca="1">IF(Message&lt;&gt;"",Message,IF(OR($B32&gt;RealEstate!O$112,$B32&lt;RealEstate!O$111),0,RealEstate!O$109*(1+inflation+RealEstate!O$110)^$A32))</f>
        <v>EXPIRED</v>
      </c>
      <c r="O32" s="23" t="str">
        <f t="shared" ca="1" si="14"/>
        <v>EXPIRED</v>
      </c>
      <c r="P32" s="23" t="str">
        <f ca="1">IF(Message&lt;&gt;"",Message,IF($B32=RealEstate!O$111,N32*(1+$C$3),0)+IF(B32=RealEstate!O$112,-N32*(1-$C$2),0))</f>
        <v>EXPIRED</v>
      </c>
      <c r="Q32" s="53" t="str">
        <f ca="1">IF(Message&lt;&gt;"",Message,+IF(P32&lt;0,MAX(0,N32 - RealEstate!O$109*(1+RealEstate!O$110)^(MAX(age,RealEstate!O$111)-age)-Taxes!$B$11*$C32),0))</f>
        <v>EXPIRED</v>
      </c>
      <c r="R32" s="43" t="str">
        <f ca="1">IF(Message&lt;&gt;"",Message,IF(AND(P32&lt;=0,N32&gt;0),+N32*RealEstate!O$117,0))</f>
        <v>EXPIRED</v>
      </c>
      <c r="S32" s="23" t="str">
        <f ca="1">IF(Message&lt;&gt;"",Message,IF(AND(P32&lt;=0,N32&gt;0),+N32*RealEstate!O$118,0))</f>
        <v>EXPIRED</v>
      </c>
      <c r="T32" s="23" t="str">
        <f ca="1">IF(Message&lt;&gt;"",Message,IF(AND(P32&lt;=0,N32&gt;0),+RealEstate!O$119*$C32,0))</f>
        <v>EXPIRED</v>
      </c>
      <c r="U32" s="44" t="str">
        <f ca="1">IF(Message&lt;&gt;"",Message,IF(AND(P32&lt;=0,N32&gt;0),+RealEstate!O$120*$C32,0))</f>
        <v>EXPIRED</v>
      </c>
      <c r="V32" s="23" t="str">
        <f ca="1">IF(Message&lt;&gt;"",Message,+X31*RealEstate!O$115)</f>
        <v>EXPIRED</v>
      </c>
      <c r="W32" s="23" t="str">
        <f ca="1">IF(Message&lt;&gt;"",Message,+IF(P32&gt;0,-P32*RealEstate!O$113,IF(X31&lt;=0.1,0,IF(N33=0,X31,IF(W31&gt;0,SUM(V31:W31)-V32,X31/100000*O$116-V32)))))</f>
        <v>EXPIRED</v>
      </c>
      <c r="X32" s="44" t="str">
        <f ca="1">IF(Message&lt;&gt;"",Message,+IF(P32&gt;0,P32*RealEstate!O$113,X31-W32))</f>
        <v>EXPIRED</v>
      </c>
      <c r="Y32" s="20" t="str">
        <f t="shared" ca="1" si="15"/>
        <v>EXPIRED</v>
      </c>
      <c r="Z32" s="40"/>
      <c r="AA32" s="20" t="str">
        <f ca="1">IF(Message&lt;&gt;"",Message,IF(OR($B32&gt;RealEstate!AB$112,$B32&lt;RealEstate!AB$111),0,RealEstate!AB$109*(1+inflation+RealEstate!AB$110)^$A32))</f>
        <v>EXPIRED</v>
      </c>
      <c r="AB32" s="23" t="str">
        <f t="shared" ca="1" si="16"/>
        <v>EXPIRED</v>
      </c>
      <c r="AC32" s="23" t="str">
        <f ca="1">IF(Message&lt;&gt;"",Message,IF($B32=RealEstate!AB$111,AA32*(1+$C$3),0)+IF(O32=RealEstate!AB$112,-AA32*(1-$C$2),0))</f>
        <v>EXPIRED</v>
      </c>
      <c r="AD32" s="53" t="str">
        <f ca="1">IF(Message&lt;&gt;"",Message,+IF(AC32&lt;0,MAX(0,AA32 - RealEstate!AB$109*(1+RealEstate!AB$110)^(MAX(age,RealEstate!AB$111)-age)-Taxes!$B$11*$C32),0))</f>
        <v>EXPIRED</v>
      </c>
      <c r="AE32" s="43" t="str">
        <f ca="1">IF(Message&lt;&gt;"",Message,IF(AND(AC32&lt;=0,AA32&gt;0),+AA32*RealEstate!AB$117,0))</f>
        <v>EXPIRED</v>
      </c>
      <c r="AF32" s="23" t="str">
        <f ca="1">IF(Message&lt;&gt;"",Message,IF(AND(AC32&lt;=0,AA32&gt;0),+AA32*RealEstate!AB$118,0))</f>
        <v>EXPIRED</v>
      </c>
      <c r="AG32" s="23" t="str">
        <f ca="1">IF(Message&lt;&gt;"",Message,IF(AND(AC32&lt;=0,AA32&gt;0),+RealEstate!AB$119*$C32,0))</f>
        <v>EXPIRED</v>
      </c>
      <c r="AH32" s="44" t="str">
        <f ca="1">IF(Message&lt;&gt;"",Message,IF(AND(AC32&lt;=0,AA32&gt;0),+RealEstate!AB$120*$C32,0))</f>
        <v>EXPIRED</v>
      </c>
      <c r="AI32" s="23" t="str">
        <f ca="1">IF(Message&lt;&gt;"",Message,+AK31*RealEstate!AB$115)</f>
        <v>EXPIRED</v>
      </c>
      <c r="AJ32" s="23" t="str">
        <f ca="1">IF(Message&lt;&gt;"",Message,+IF(AC32&gt;0,-AC32*RealEstate!AB$113,IF(AK31&lt;=0.1,0,IF(AA33=0,AK31,IF(AJ31&gt;0,SUM(AI31:AJ31)-AI32,AK31/100000*AB$116-AI32)))))</f>
        <v>EXPIRED</v>
      </c>
      <c r="AK32" s="44" t="str">
        <f ca="1">IF(Message&lt;&gt;"",Message,+IF(AC32&gt;0,AC32*RealEstate!AB$113,AK31-AJ32))</f>
        <v>EXPIRED</v>
      </c>
      <c r="AL32" s="20" t="str">
        <f t="shared" ca="1" si="17"/>
        <v>EXPIRED</v>
      </c>
      <c r="AM32" s="40"/>
    </row>
    <row r="33" spans="1:39" ht="14.45" x14ac:dyDescent="0.3">
      <c r="A33" s="14">
        <f t="shared" si="18"/>
        <v>28</v>
      </c>
      <c r="B33" s="14">
        <f t="shared" si="18"/>
        <v>68</v>
      </c>
      <c r="C33" s="38">
        <f t="shared" si="0"/>
        <v>1.7410242061739269</v>
      </c>
      <c r="E33" s="23">
        <f t="shared" ca="1" si="1"/>
        <v>0</v>
      </c>
      <c r="F33" s="20">
        <f t="shared" ca="1" si="12"/>
        <v>0</v>
      </c>
      <c r="G33" s="20">
        <f t="shared" ca="1" si="13"/>
        <v>0</v>
      </c>
      <c r="H33" s="23">
        <f t="shared" ca="1" si="4"/>
        <v>0</v>
      </c>
      <c r="I33" s="20">
        <f t="shared" ca="1" si="5"/>
        <v>0</v>
      </c>
      <c r="J33" s="20">
        <f t="shared" ca="1" si="6"/>
        <v>0</v>
      </c>
      <c r="K33" s="23">
        <f t="shared" ref="K33:K96" ca="1" si="19">+L33+F33</f>
        <v>0</v>
      </c>
      <c r="L33" s="23">
        <f t="shared" ca="1" si="8"/>
        <v>0</v>
      </c>
      <c r="M33" s="40"/>
      <c r="N33" s="20" t="str">
        <f ca="1">IF(Message&lt;&gt;"",Message,IF(OR($B33&gt;RealEstate!O$112,$B33&lt;RealEstate!O$111),0,RealEstate!O$109*(1+inflation+RealEstate!O$110)^$A33))</f>
        <v>EXPIRED</v>
      </c>
      <c r="O33" s="23" t="str">
        <f t="shared" ca="1" si="14"/>
        <v>EXPIRED</v>
      </c>
      <c r="P33" s="23" t="str">
        <f ca="1">IF(Message&lt;&gt;"",Message,IF($B33=RealEstate!O$111,N33*(1+$C$3),0)+IF(B33=RealEstate!O$112,-N33*(1-$C$2),0))</f>
        <v>EXPIRED</v>
      </c>
      <c r="Q33" s="53" t="str">
        <f ca="1">IF(Message&lt;&gt;"",Message,+IF(P33&lt;0,MAX(0,N33 - RealEstate!O$109*(1+RealEstate!O$110)^(MAX(age,RealEstate!O$111)-age)-Taxes!$B$11*$C33),0))</f>
        <v>EXPIRED</v>
      </c>
      <c r="R33" s="43" t="str">
        <f ca="1">IF(Message&lt;&gt;"",Message,IF(AND(P33&lt;=0,N33&gt;0),+N33*RealEstate!O$117,0))</f>
        <v>EXPIRED</v>
      </c>
      <c r="S33" s="23" t="str">
        <f ca="1">IF(Message&lt;&gt;"",Message,IF(AND(P33&lt;=0,N33&gt;0),+N33*RealEstate!O$118,0))</f>
        <v>EXPIRED</v>
      </c>
      <c r="T33" s="23" t="str">
        <f ca="1">IF(Message&lt;&gt;"",Message,IF(AND(P33&lt;=0,N33&gt;0),+RealEstate!O$119*$C33,0))</f>
        <v>EXPIRED</v>
      </c>
      <c r="U33" s="44" t="str">
        <f ca="1">IF(Message&lt;&gt;"",Message,IF(AND(P33&lt;=0,N33&gt;0),+RealEstate!O$120*$C33,0))</f>
        <v>EXPIRED</v>
      </c>
      <c r="V33" s="23" t="str">
        <f ca="1">IF(Message&lt;&gt;"",Message,+X32*RealEstate!O$115)</f>
        <v>EXPIRED</v>
      </c>
      <c r="W33" s="23" t="str">
        <f ca="1">IF(Message&lt;&gt;"",Message,+IF(P33&gt;0,-P33*RealEstate!O$113,IF(X32&lt;=0.1,0,IF(N34=0,X32,IF(W32&gt;0,SUM(V32:W32)-V33,X32/100000*O$116-V33)))))</f>
        <v>EXPIRED</v>
      </c>
      <c r="X33" s="44" t="str">
        <f ca="1">IF(Message&lt;&gt;"",Message,+IF(P33&gt;0,P33*RealEstate!O$113,X32-W33))</f>
        <v>EXPIRED</v>
      </c>
      <c r="Y33" s="20" t="str">
        <f t="shared" ca="1" si="15"/>
        <v>EXPIRED</v>
      </c>
      <c r="Z33" s="40"/>
      <c r="AA33" s="20" t="str">
        <f ca="1">IF(Message&lt;&gt;"",Message,IF(OR($B33&gt;RealEstate!AB$112,$B33&lt;RealEstate!AB$111),0,RealEstate!AB$109*(1+inflation+RealEstate!AB$110)^$A33))</f>
        <v>EXPIRED</v>
      </c>
      <c r="AB33" s="23" t="str">
        <f t="shared" ca="1" si="16"/>
        <v>EXPIRED</v>
      </c>
      <c r="AC33" s="23" t="str">
        <f ca="1">IF(Message&lt;&gt;"",Message,IF($B33=RealEstate!AB$111,AA33*(1+$C$3),0)+IF(O33=RealEstate!AB$112,-AA33*(1-$C$2),0))</f>
        <v>EXPIRED</v>
      </c>
      <c r="AD33" s="53" t="str">
        <f ca="1">IF(Message&lt;&gt;"",Message,+IF(AC33&lt;0,MAX(0,AA33 - RealEstate!AB$109*(1+RealEstate!AB$110)^(MAX(age,RealEstate!AB$111)-age)-Taxes!$B$11*$C33),0))</f>
        <v>EXPIRED</v>
      </c>
      <c r="AE33" s="43" t="str">
        <f ca="1">IF(Message&lt;&gt;"",Message,IF(AND(AC33&lt;=0,AA33&gt;0),+AA33*RealEstate!AB$117,0))</f>
        <v>EXPIRED</v>
      </c>
      <c r="AF33" s="23" t="str">
        <f ca="1">IF(Message&lt;&gt;"",Message,IF(AND(AC33&lt;=0,AA33&gt;0),+AA33*RealEstate!AB$118,0))</f>
        <v>EXPIRED</v>
      </c>
      <c r="AG33" s="23" t="str">
        <f ca="1">IF(Message&lt;&gt;"",Message,IF(AND(AC33&lt;=0,AA33&gt;0),+RealEstate!AB$119*$C33,0))</f>
        <v>EXPIRED</v>
      </c>
      <c r="AH33" s="44" t="str">
        <f ca="1">IF(Message&lt;&gt;"",Message,IF(AND(AC33&lt;=0,AA33&gt;0),+RealEstate!AB$120*$C33,0))</f>
        <v>EXPIRED</v>
      </c>
      <c r="AI33" s="23" t="str">
        <f ca="1">IF(Message&lt;&gt;"",Message,+AK32*RealEstate!AB$115)</f>
        <v>EXPIRED</v>
      </c>
      <c r="AJ33" s="23" t="str">
        <f ca="1">IF(Message&lt;&gt;"",Message,+IF(AC33&gt;0,-AC33*RealEstate!AB$113,IF(AK32&lt;=0.1,0,IF(AA34=0,AK32,IF(AJ32&gt;0,SUM(AI32:AJ32)-AI33,AK32/100000*AB$116-AI33)))))</f>
        <v>EXPIRED</v>
      </c>
      <c r="AK33" s="44" t="str">
        <f ca="1">IF(Message&lt;&gt;"",Message,+IF(AC33&gt;0,AC33*RealEstate!AB$113,AK32-AJ33))</f>
        <v>EXPIRED</v>
      </c>
      <c r="AL33" s="20" t="str">
        <f t="shared" ca="1" si="17"/>
        <v>EXPIRED</v>
      </c>
      <c r="AM33" s="40"/>
    </row>
    <row r="34" spans="1:39" ht="14.45" x14ac:dyDescent="0.3">
      <c r="A34" s="14">
        <f t="shared" si="18"/>
        <v>29</v>
      </c>
      <c r="B34" s="14">
        <f t="shared" si="18"/>
        <v>69</v>
      </c>
      <c r="C34" s="38">
        <f t="shared" si="0"/>
        <v>1.7758446902974052</v>
      </c>
      <c r="E34" s="23">
        <f t="shared" ca="1" si="1"/>
        <v>0</v>
      </c>
      <c r="F34" s="20">
        <f t="shared" ca="1" si="12"/>
        <v>0</v>
      </c>
      <c r="G34" s="20">
        <f t="shared" ca="1" si="13"/>
        <v>0</v>
      </c>
      <c r="H34" s="23">
        <f t="shared" ca="1" si="4"/>
        <v>0</v>
      </c>
      <c r="I34" s="20">
        <f t="shared" ca="1" si="5"/>
        <v>0</v>
      </c>
      <c r="J34" s="20">
        <f t="shared" ca="1" si="6"/>
        <v>0</v>
      </c>
      <c r="K34" s="23">
        <f t="shared" ca="1" si="19"/>
        <v>0</v>
      </c>
      <c r="L34" s="23">
        <f t="shared" ca="1" si="8"/>
        <v>0</v>
      </c>
      <c r="M34" s="40"/>
      <c r="N34" s="20" t="str">
        <f ca="1">IF(Message&lt;&gt;"",Message,IF(OR($B34&gt;RealEstate!O$112,$B34&lt;RealEstate!O$111),0,RealEstate!O$109*(1+inflation+RealEstate!O$110)^$A34))</f>
        <v>EXPIRED</v>
      </c>
      <c r="O34" s="23" t="str">
        <f t="shared" ca="1" si="14"/>
        <v>EXPIRED</v>
      </c>
      <c r="P34" s="23" t="str">
        <f ca="1">IF(Message&lt;&gt;"",Message,IF($B34=RealEstate!O$111,N34*(1+$C$3),0)+IF(B34=RealEstate!O$112,-N34*(1-$C$2),0))</f>
        <v>EXPIRED</v>
      </c>
      <c r="Q34" s="53" t="str">
        <f ca="1">IF(Message&lt;&gt;"",Message,+IF(P34&lt;0,MAX(0,N34 - RealEstate!O$109*(1+RealEstate!O$110)^(MAX(age,RealEstate!O$111)-age)-Taxes!$B$11*$C34),0))</f>
        <v>EXPIRED</v>
      </c>
      <c r="R34" s="43" t="str">
        <f ca="1">IF(Message&lt;&gt;"",Message,IF(AND(P34&lt;=0,N34&gt;0),+N34*RealEstate!O$117,0))</f>
        <v>EXPIRED</v>
      </c>
      <c r="S34" s="23" t="str">
        <f ca="1">IF(Message&lt;&gt;"",Message,IF(AND(P34&lt;=0,N34&gt;0),+N34*RealEstate!O$118,0))</f>
        <v>EXPIRED</v>
      </c>
      <c r="T34" s="23" t="str">
        <f ca="1">IF(Message&lt;&gt;"",Message,IF(AND(P34&lt;=0,N34&gt;0),+RealEstate!O$119*$C34,0))</f>
        <v>EXPIRED</v>
      </c>
      <c r="U34" s="44" t="str">
        <f ca="1">IF(Message&lt;&gt;"",Message,IF(AND(P34&lt;=0,N34&gt;0),+RealEstate!O$120*$C34,0))</f>
        <v>EXPIRED</v>
      </c>
      <c r="V34" s="23" t="str">
        <f ca="1">IF(Message&lt;&gt;"",Message,+X33*RealEstate!O$115)</f>
        <v>EXPIRED</v>
      </c>
      <c r="W34" s="23" t="str">
        <f ca="1">IF(Message&lt;&gt;"",Message,+IF(P34&gt;0,-P34*RealEstate!O$113,IF(X33&lt;=0.1,0,IF(N35=0,X33,IF(W33&gt;0,SUM(V33:W33)-V34,X33/100000*O$116-V34)))))</f>
        <v>EXPIRED</v>
      </c>
      <c r="X34" s="44" t="str">
        <f ca="1">IF(Message&lt;&gt;"",Message,+IF(P34&gt;0,P34*RealEstate!O$113,X33-W34))</f>
        <v>EXPIRED</v>
      </c>
      <c r="Y34" s="20" t="str">
        <f t="shared" ca="1" si="15"/>
        <v>EXPIRED</v>
      </c>
      <c r="Z34" s="40"/>
      <c r="AA34" s="20" t="str">
        <f ca="1">IF(Message&lt;&gt;"",Message,IF(OR($B34&gt;RealEstate!AB$112,$B34&lt;RealEstate!AB$111),0,RealEstate!AB$109*(1+inflation+RealEstate!AB$110)^$A34))</f>
        <v>EXPIRED</v>
      </c>
      <c r="AB34" s="23" t="str">
        <f t="shared" ca="1" si="16"/>
        <v>EXPIRED</v>
      </c>
      <c r="AC34" s="23" t="str">
        <f ca="1">IF(Message&lt;&gt;"",Message,IF($B34=RealEstate!AB$111,AA34*(1+$C$3),0)+IF(O34=RealEstate!AB$112,-AA34*(1-$C$2),0))</f>
        <v>EXPIRED</v>
      </c>
      <c r="AD34" s="53" t="str">
        <f ca="1">IF(Message&lt;&gt;"",Message,+IF(AC34&lt;0,MAX(0,AA34 - RealEstate!AB$109*(1+RealEstate!AB$110)^(MAX(age,RealEstate!AB$111)-age)-Taxes!$B$11*$C34),0))</f>
        <v>EXPIRED</v>
      </c>
      <c r="AE34" s="43" t="str">
        <f ca="1">IF(Message&lt;&gt;"",Message,IF(AND(AC34&lt;=0,AA34&gt;0),+AA34*RealEstate!AB$117,0))</f>
        <v>EXPIRED</v>
      </c>
      <c r="AF34" s="23" t="str">
        <f ca="1">IF(Message&lt;&gt;"",Message,IF(AND(AC34&lt;=0,AA34&gt;0),+AA34*RealEstate!AB$118,0))</f>
        <v>EXPIRED</v>
      </c>
      <c r="AG34" s="23" t="str">
        <f ca="1">IF(Message&lt;&gt;"",Message,IF(AND(AC34&lt;=0,AA34&gt;0),+RealEstate!AB$119*$C34,0))</f>
        <v>EXPIRED</v>
      </c>
      <c r="AH34" s="44" t="str">
        <f ca="1">IF(Message&lt;&gt;"",Message,IF(AND(AC34&lt;=0,AA34&gt;0),+RealEstate!AB$120*$C34,0))</f>
        <v>EXPIRED</v>
      </c>
      <c r="AI34" s="23" t="str">
        <f ca="1">IF(Message&lt;&gt;"",Message,+AK33*RealEstate!AB$115)</f>
        <v>EXPIRED</v>
      </c>
      <c r="AJ34" s="23" t="str">
        <f ca="1">IF(Message&lt;&gt;"",Message,+IF(AC34&gt;0,-AC34*RealEstate!AB$113,IF(AK33&lt;=0.1,0,IF(AA35=0,AK33,IF(AJ33&gt;0,SUM(AI33:AJ33)-AI34,AK33/100000*AB$116-AI34)))))</f>
        <v>EXPIRED</v>
      </c>
      <c r="AK34" s="44" t="str">
        <f ca="1">IF(Message&lt;&gt;"",Message,+IF(AC34&gt;0,AC34*RealEstate!AB$113,AK33-AJ34))</f>
        <v>EXPIRED</v>
      </c>
      <c r="AL34" s="20" t="str">
        <f t="shared" ca="1" si="17"/>
        <v>EXPIRED</v>
      </c>
      <c r="AM34" s="40"/>
    </row>
    <row r="35" spans="1:39" ht="14.45" x14ac:dyDescent="0.3">
      <c r="A35" s="14">
        <f t="shared" si="18"/>
        <v>30</v>
      </c>
      <c r="B35" s="14">
        <f t="shared" si="18"/>
        <v>70</v>
      </c>
      <c r="C35" s="38">
        <f t="shared" si="0"/>
        <v>1.8113615841033535</v>
      </c>
      <c r="E35" s="23">
        <f t="shared" ca="1" si="1"/>
        <v>0</v>
      </c>
      <c r="F35" s="20">
        <f t="shared" ca="1" si="12"/>
        <v>0</v>
      </c>
      <c r="G35" s="20">
        <f t="shared" ca="1" si="13"/>
        <v>0</v>
      </c>
      <c r="H35" s="23">
        <f t="shared" ca="1" si="4"/>
        <v>0</v>
      </c>
      <c r="I35" s="20">
        <f t="shared" ca="1" si="5"/>
        <v>0</v>
      </c>
      <c r="J35" s="20">
        <f t="shared" ca="1" si="6"/>
        <v>0</v>
      </c>
      <c r="K35" s="23">
        <f t="shared" ca="1" si="19"/>
        <v>0</v>
      </c>
      <c r="L35" s="23">
        <f t="shared" ca="1" si="8"/>
        <v>0</v>
      </c>
      <c r="M35" s="40"/>
      <c r="N35" s="20" t="str">
        <f ca="1">IF(Message&lt;&gt;"",Message,IF(OR($B35&gt;RealEstate!O$112,$B35&lt;RealEstate!O$111),0,RealEstate!O$109*(1+inflation+RealEstate!O$110)^$A35))</f>
        <v>EXPIRED</v>
      </c>
      <c r="O35" s="23" t="str">
        <f t="shared" ca="1" si="14"/>
        <v>EXPIRED</v>
      </c>
      <c r="P35" s="23" t="str">
        <f ca="1">IF(Message&lt;&gt;"",Message,IF($B35=RealEstate!O$111,N35*(1+$C$3),0)+IF(B35=RealEstate!O$112,-N35*(1-$C$2),0))</f>
        <v>EXPIRED</v>
      </c>
      <c r="Q35" s="53" t="str">
        <f ca="1">IF(Message&lt;&gt;"",Message,+IF(P35&lt;0,MAX(0,N35 - RealEstate!O$109*(1+RealEstate!O$110)^(MAX(age,RealEstate!O$111)-age)-Taxes!$B$11*$C35),0))</f>
        <v>EXPIRED</v>
      </c>
      <c r="R35" s="43" t="str">
        <f ca="1">IF(Message&lt;&gt;"",Message,IF(AND(P35&lt;=0,N35&gt;0),+N35*RealEstate!O$117,0))</f>
        <v>EXPIRED</v>
      </c>
      <c r="S35" s="23" t="str">
        <f ca="1">IF(Message&lt;&gt;"",Message,IF(AND(P35&lt;=0,N35&gt;0),+N35*RealEstate!O$118,0))</f>
        <v>EXPIRED</v>
      </c>
      <c r="T35" s="23" t="str">
        <f ca="1">IF(Message&lt;&gt;"",Message,IF(AND(P35&lt;=0,N35&gt;0),+RealEstate!O$119*$C35,0))</f>
        <v>EXPIRED</v>
      </c>
      <c r="U35" s="44" t="str">
        <f ca="1">IF(Message&lt;&gt;"",Message,IF(AND(P35&lt;=0,N35&gt;0),+RealEstate!O$120*$C35,0))</f>
        <v>EXPIRED</v>
      </c>
      <c r="V35" s="23" t="str">
        <f ca="1">IF(Message&lt;&gt;"",Message,+X34*RealEstate!O$115)</f>
        <v>EXPIRED</v>
      </c>
      <c r="W35" s="23" t="str">
        <f ca="1">IF(Message&lt;&gt;"",Message,+IF(P35&gt;0,-P35*RealEstate!O$113,IF(X34&lt;=0.1,0,IF(N36=0,X34,IF(W34&gt;0,SUM(V34:W34)-V35,X34/100000*O$116-V35)))))</f>
        <v>EXPIRED</v>
      </c>
      <c r="X35" s="44" t="str">
        <f ca="1">IF(Message&lt;&gt;"",Message,+IF(P35&gt;0,P35*RealEstate!O$113,X34-W35))</f>
        <v>EXPIRED</v>
      </c>
      <c r="Y35" s="20" t="str">
        <f t="shared" ca="1" si="15"/>
        <v>EXPIRED</v>
      </c>
      <c r="Z35" s="40"/>
      <c r="AA35" s="20" t="str">
        <f ca="1">IF(Message&lt;&gt;"",Message,IF(OR($B35&gt;RealEstate!AB$112,$B35&lt;RealEstate!AB$111),0,RealEstate!AB$109*(1+inflation+RealEstate!AB$110)^$A35))</f>
        <v>EXPIRED</v>
      </c>
      <c r="AB35" s="23" t="str">
        <f t="shared" ca="1" si="16"/>
        <v>EXPIRED</v>
      </c>
      <c r="AC35" s="23" t="str">
        <f ca="1">IF(Message&lt;&gt;"",Message,IF($B35=RealEstate!AB$111,AA35*(1+$C$3),0)+IF(O35=RealEstate!AB$112,-AA35*(1-$C$2),0))</f>
        <v>EXPIRED</v>
      </c>
      <c r="AD35" s="53" t="str">
        <f ca="1">IF(Message&lt;&gt;"",Message,+IF(AC35&lt;0,MAX(0,AA35 - RealEstate!AB$109*(1+RealEstate!AB$110)^(MAX(age,RealEstate!AB$111)-age)-Taxes!$B$11*$C35),0))</f>
        <v>EXPIRED</v>
      </c>
      <c r="AE35" s="43" t="str">
        <f ca="1">IF(Message&lt;&gt;"",Message,IF(AND(AC35&lt;=0,AA35&gt;0),+AA35*RealEstate!AB$117,0))</f>
        <v>EXPIRED</v>
      </c>
      <c r="AF35" s="23" t="str">
        <f ca="1">IF(Message&lt;&gt;"",Message,IF(AND(AC35&lt;=0,AA35&gt;0),+AA35*RealEstate!AB$118,0))</f>
        <v>EXPIRED</v>
      </c>
      <c r="AG35" s="23" t="str">
        <f ca="1">IF(Message&lt;&gt;"",Message,IF(AND(AC35&lt;=0,AA35&gt;0),+RealEstate!AB$119*$C35,0))</f>
        <v>EXPIRED</v>
      </c>
      <c r="AH35" s="44" t="str">
        <f ca="1">IF(Message&lt;&gt;"",Message,IF(AND(AC35&lt;=0,AA35&gt;0),+RealEstate!AB$120*$C35,0))</f>
        <v>EXPIRED</v>
      </c>
      <c r="AI35" s="23" t="str">
        <f ca="1">IF(Message&lt;&gt;"",Message,+AK34*RealEstate!AB$115)</f>
        <v>EXPIRED</v>
      </c>
      <c r="AJ35" s="23" t="str">
        <f ca="1">IF(Message&lt;&gt;"",Message,+IF(AC35&gt;0,-AC35*RealEstate!AB$113,IF(AK34&lt;=0.1,0,IF(AA36=0,AK34,IF(AJ34&gt;0,SUM(AI34:AJ34)-AI35,AK34/100000*AB$116-AI35)))))</f>
        <v>EXPIRED</v>
      </c>
      <c r="AK35" s="44" t="str">
        <f ca="1">IF(Message&lt;&gt;"",Message,+IF(AC35&gt;0,AC35*RealEstate!AB$113,AK34-AJ35))</f>
        <v>EXPIRED</v>
      </c>
      <c r="AL35" s="20" t="str">
        <f t="shared" ca="1" si="17"/>
        <v>EXPIRED</v>
      </c>
      <c r="AM35" s="40"/>
    </row>
    <row r="36" spans="1:39" ht="14.45" x14ac:dyDescent="0.3">
      <c r="A36" s="14">
        <f t="shared" si="18"/>
        <v>31</v>
      </c>
      <c r="B36" s="14">
        <f t="shared" si="18"/>
        <v>71</v>
      </c>
      <c r="C36" s="38">
        <f t="shared" si="0"/>
        <v>1.8475888157854201</v>
      </c>
      <c r="E36" s="23">
        <f t="shared" ca="1" si="1"/>
        <v>0</v>
      </c>
      <c r="F36" s="20">
        <f t="shared" ca="1" si="12"/>
        <v>0</v>
      </c>
      <c r="G36" s="20">
        <f t="shared" ca="1" si="13"/>
        <v>0</v>
      </c>
      <c r="H36" s="23">
        <f t="shared" ca="1" si="4"/>
        <v>0</v>
      </c>
      <c r="I36" s="20">
        <f t="shared" ca="1" si="5"/>
        <v>0</v>
      </c>
      <c r="J36" s="20">
        <f t="shared" ca="1" si="6"/>
        <v>0</v>
      </c>
      <c r="K36" s="23">
        <f t="shared" ca="1" si="19"/>
        <v>0</v>
      </c>
      <c r="L36" s="23">
        <f t="shared" ca="1" si="8"/>
        <v>0</v>
      </c>
      <c r="M36" s="40"/>
      <c r="N36" s="20" t="str">
        <f ca="1">IF(Message&lt;&gt;"",Message,IF(OR($B36&gt;RealEstate!O$112,$B36&lt;RealEstate!O$111),0,RealEstate!O$109*(1+inflation+RealEstate!O$110)^$A36))</f>
        <v>EXPIRED</v>
      </c>
      <c r="O36" s="23" t="str">
        <f t="shared" ca="1" si="14"/>
        <v>EXPIRED</v>
      </c>
      <c r="P36" s="23" t="str">
        <f ca="1">IF(Message&lt;&gt;"",Message,IF($B36=RealEstate!O$111,N36*(1+$C$3),0)+IF(B36=RealEstate!O$112,-N36*(1-$C$2),0))</f>
        <v>EXPIRED</v>
      </c>
      <c r="Q36" s="53" t="str">
        <f ca="1">IF(Message&lt;&gt;"",Message,+IF(P36&lt;0,MAX(0,N36 - RealEstate!O$109*(1+RealEstate!O$110)^(MAX(age,RealEstate!O$111)-age)-Taxes!$B$11*$C36),0))</f>
        <v>EXPIRED</v>
      </c>
      <c r="R36" s="43" t="str">
        <f ca="1">IF(Message&lt;&gt;"",Message,IF(AND(P36&lt;=0,N36&gt;0),+N36*RealEstate!O$117,0))</f>
        <v>EXPIRED</v>
      </c>
      <c r="S36" s="23" t="str">
        <f ca="1">IF(Message&lt;&gt;"",Message,IF(AND(P36&lt;=0,N36&gt;0),+N36*RealEstate!O$118,0))</f>
        <v>EXPIRED</v>
      </c>
      <c r="T36" s="23" t="str">
        <f ca="1">IF(Message&lt;&gt;"",Message,IF(AND(P36&lt;=0,N36&gt;0),+RealEstate!O$119*$C36,0))</f>
        <v>EXPIRED</v>
      </c>
      <c r="U36" s="44" t="str">
        <f ca="1">IF(Message&lt;&gt;"",Message,IF(AND(P36&lt;=0,N36&gt;0),+RealEstate!O$120*$C36,0))</f>
        <v>EXPIRED</v>
      </c>
      <c r="V36" s="23" t="str">
        <f ca="1">IF(Message&lt;&gt;"",Message,+X35*RealEstate!O$115)</f>
        <v>EXPIRED</v>
      </c>
      <c r="W36" s="23" t="str">
        <f ca="1">IF(Message&lt;&gt;"",Message,+IF(P36&gt;0,-P36*RealEstate!O$113,IF(X35&lt;=0.1,0,IF(N37=0,X35,IF(W35&gt;0,SUM(V35:W35)-V36,X35/100000*O$116-V36)))))</f>
        <v>EXPIRED</v>
      </c>
      <c r="X36" s="44" t="str">
        <f ca="1">IF(Message&lt;&gt;"",Message,+IF(P36&gt;0,P36*RealEstate!O$113,X35-W36))</f>
        <v>EXPIRED</v>
      </c>
      <c r="Y36" s="20" t="str">
        <f t="shared" ca="1" si="15"/>
        <v>EXPIRED</v>
      </c>
      <c r="Z36" s="40"/>
      <c r="AA36" s="20" t="str">
        <f ca="1">IF(Message&lt;&gt;"",Message,IF(OR($B36&gt;RealEstate!AB$112,$B36&lt;RealEstate!AB$111),0,RealEstate!AB$109*(1+inflation+RealEstate!AB$110)^$A36))</f>
        <v>EXPIRED</v>
      </c>
      <c r="AB36" s="23" t="str">
        <f t="shared" ca="1" si="16"/>
        <v>EXPIRED</v>
      </c>
      <c r="AC36" s="23" t="str">
        <f ca="1">IF(Message&lt;&gt;"",Message,IF($B36=RealEstate!AB$111,AA36*(1+$C$3),0)+IF(O36=RealEstate!AB$112,-AA36*(1-$C$2),0))</f>
        <v>EXPIRED</v>
      </c>
      <c r="AD36" s="53" t="str">
        <f ca="1">IF(Message&lt;&gt;"",Message,+IF(AC36&lt;0,MAX(0,AA36 - RealEstate!AB$109*(1+RealEstate!AB$110)^(MAX(age,RealEstate!AB$111)-age)-Taxes!$B$11*$C36),0))</f>
        <v>EXPIRED</v>
      </c>
      <c r="AE36" s="43" t="str">
        <f ca="1">IF(Message&lt;&gt;"",Message,IF(AND(AC36&lt;=0,AA36&gt;0),+AA36*RealEstate!AB$117,0))</f>
        <v>EXPIRED</v>
      </c>
      <c r="AF36" s="23" t="str">
        <f ca="1">IF(Message&lt;&gt;"",Message,IF(AND(AC36&lt;=0,AA36&gt;0),+AA36*RealEstate!AB$118,0))</f>
        <v>EXPIRED</v>
      </c>
      <c r="AG36" s="23" t="str">
        <f ca="1">IF(Message&lt;&gt;"",Message,IF(AND(AC36&lt;=0,AA36&gt;0),+RealEstate!AB$119*$C36,0))</f>
        <v>EXPIRED</v>
      </c>
      <c r="AH36" s="44" t="str">
        <f ca="1">IF(Message&lt;&gt;"",Message,IF(AND(AC36&lt;=0,AA36&gt;0),+RealEstate!AB$120*$C36,0))</f>
        <v>EXPIRED</v>
      </c>
      <c r="AI36" s="23" t="str">
        <f ca="1">IF(Message&lt;&gt;"",Message,+AK35*RealEstate!AB$115)</f>
        <v>EXPIRED</v>
      </c>
      <c r="AJ36" s="23" t="str">
        <f ca="1">IF(Message&lt;&gt;"",Message,+IF(AC36&gt;0,-AC36*RealEstate!AB$113,IF(AK35&lt;=0.1,0,IF(AA37=0,AK35,IF(AJ35&gt;0,SUM(AI35:AJ35)-AI36,AK35/100000*AB$116-AI36)))))</f>
        <v>EXPIRED</v>
      </c>
      <c r="AK36" s="44" t="str">
        <f ca="1">IF(Message&lt;&gt;"",Message,+IF(AC36&gt;0,AC36*RealEstate!AB$113,AK35-AJ36))</f>
        <v>EXPIRED</v>
      </c>
      <c r="AL36" s="20" t="str">
        <f t="shared" ca="1" si="17"/>
        <v>EXPIRED</v>
      </c>
      <c r="AM36" s="40"/>
    </row>
    <row r="37" spans="1:39" ht="14.45" x14ac:dyDescent="0.3">
      <c r="A37" s="14">
        <f t="shared" si="18"/>
        <v>32</v>
      </c>
      <c r="B37" s="14">
        <f t="shared" si="18"/>
        <v>72</v>
      </c>
      <c r="C37" s="38">
        <f t="shared" ref="C37:C68" si="20">+(1+inflation)^A37</f>
        <v>1.8845405921011289</v>
      </c>
      <c r="E37" s="23">
        <f t="shared" ref="E37:E68" ca="1" si="21">+SUMIF($4:$4,"Equity",37:37)</f>
        <v>0</v>
      </c>
      <c r="F37" s="20">
        <f t="shared" ca="1" si="12"/>
        <v>0</v>
      </c>
      <c r="G37" s="20">
        <f t="shared" ca="1" si="13"/>
        <v>0</v>
      </c>
      <c r="H37" s="23">
        <f t="shared" ca="1" si="4"/>
        <v>0</v>
      </c>
      <c r="I37" s="20">
        <f t="shared" ca="1" si="5"/>
        <v>0</v>
      </c>
      <c r="J37" s="20">
        <f t="shared" ca="1" si="6"/>
        <v>0</v>
      </c>
      <c r="K37" s="23">
        <f t="shared" ca="1" si="19"/>
        <v>0</v>
      </c>
      <c r="L37" s="23">
        <f t="shared" ca="1" si="8"/>
        <v>0</v>
      </c>
      <c r="M37" s="40"/>
      <c r="N37" s="20" t="str">
        <f ca="1">IF(Message&lt;&gt;"",Message,IF(OR($B37&gt;RealEstate!O$112,$B37&lt;RealEstate!O$111),0,RealEstate!O$109*(1+inflation+RealEstate!O$110)^$A37))</f>
        <v>EXPIRED</v>
      </c>
      <c r="O37" s="23" t="str">
        <f t="shared" ca="1" si="14"/>
        <v>EXPIRED</v>
      </c>
      <c r="P37" s="23" t="str">
        <f ca="1">IF(Message&lt;&gt;"",Message,IF($B37=RealEstate!O$111,N37*(1+$C$3),0)+IF(B37=RealEstate!O$112,-N37*(1-$C$2),0))</f>
        <v>EXPIRED</v>
      </c>
      <c r="Q37" s="53" t="str">
        <f ca="1">IF(Message&lt;&gt;"",Message,+IF(P37&lt;0,MAX(0,N37 - RealEstate!O$109*(1+RealEstate!O$110)^(MAX(age,RealEstate!O$111)-age)-Taxes!$B$11*$C37),0))</f>
        <v>EXPIRED</v>
      </c>
      <c r="R37" s="43" t="str">
        <f ca="1">IF(Message&lt;&gt;"",Message,IF(AND(P37&lt;=0,N37&gt;0),+N37*RealEstate!O$117,0))</f>
        <v>EXPIRED</v>
      </c>
      <c r="S37" s="23" t="str">
        <f ca="1">IF(Message&lt;&gt;"",Message,IF(AND(P37&lt;=0,N37&gt;0),+N37*RealEstate!O$118,0))</f>
        <v>EXPIRED</v>
      </c>
      <c r="T37" s="23" t="str">
        <f ca="1">IF(Message&lt;&gt;"",Message,IF(AND(P37&lt;=0,N37&gt;0),+RealEstate!O$119*$C37,0))</f>
        <v>EXPIRED</v>
      </c>
      <c r="U37" s="44" t="str">
        <f ca="1">IF(Message&lt;&gt;"",Message,IF(AND(P37&lt;=0,N37&gt;0),+RealEstate!O$120*$C37,0))</f>
        <v>EXPIRED</v>
      </c>
      <c r="V37" s="23" t="str">
        <f ca="1">IF(Message&lt;&gt;"",Message,+X36*RealEstate!O$115)</f>
        <v>EXPIRED</v>
      </c>
      <c r="W37" s="23" t="str">
        <f ca="1">IF(Message&lt;&gt;"",Message,+IF(P37&gt;0,-P37*RealEstate!O$113,IF(X36&lt;=0.1,0,IF(N38=0,X36,IF(W36&gt;0,SUM(V36:W36)-V37,X36/100000*O$116-V37)))))</f>
        <v>EXPIRED</v>
      </c>
      <c r="X37" s="44" t="str">
        <f ca="1">IF(Message&lt;&gt;"",Message,+IF(P37&gt;0,P37*RealEstate!O$113,X36-W37))</f>
        <v>EXPIRED</v>
      </c>
      <c r="Y37" s="20" t="str">
        <f t="shared" ca="1" si="15"/>
        <v>EXPIRED</v>
      </c>
      <c r="Z37" s="40"/>
      <c r="AA37" s="20" t="str">
        <f ca="1">IF(Message&lt;&gt;"",Message,IF(OR($B37&gt;RealEstate!AB$112,$B37&lt;RealEstate!AB$111),0,RealEstate!AB$109*(1+inflation+RealEstate!AB$110)^$A37))</f>
        <v>EXPIRED</v>
      </c>
      <c r="AB37" s="23" t="str">
        <f t="shared" ca="1" si="16"/>
        <v>EXPIRED</v>
      </c>
      <c r="AC37" s="23" t="str">
        <f ca="1">IF(Message&lt;&gt;"",Message,IF($B37=RealEstate!AB$111,AA37*(1+$C$3),0)+IF(O37=RealEstate!AB$112,-AA37*(1-$C$2),0))</f>
        <v>EXPIRED</v>
      </c>
      <c r="AD37" s="53" t="str">
        <f ca="1">IF(Message&lt;&gt;"",Message,+IF(AC37&lt;0,MAX(0,AA37 - RealEstate!AB$109*(1+RealEstate!AB$110)^(MAX(age,RealEstate!AB$111)-age)-Taxes!$B$11*$C37),0))</f>
        <v>EXPIRED</v>
      </c>
      <c r="AE37" s="43" t="str">
        <f ca="1">IF(Message&lt;&gt;"",Message,IF(AND(AC37&lt;=0,AA37&gt;0),+AA37*RealEstate!AB$117,0))</f>
        <v>EXPIRED</v>
      </c>
      <c r="AF37" s="23" t="str">
        <f ca="1">IF(Message&lt;&gt;"",Message,IF(AND(AC37&lt;=0,AA37&gt;0),+AA37*RealEstate!AB$118,0))</f>
        <v>EXPIRED</v>
      </c>
      <c r="AG37" s="23" t="str">
        <f ca="1">IF(Message&lt;&gt;"",Message,IF(AND(AC37&lt;=0,AA37&gt;0),+RealEstate!AB$119*$C37,0))</f>
        <v>EXPIRED</v>
      </c>
      <c r="AH37" s="44" t="str">
        <f ca="1">IF(Message&lt;&gt;"",Message,IF(AND(AC37&lt;=0,AA37&gt;0),+RealEstate!AB$120*$C37,0))</f>
        <v>EXPIRED</v>
      </c>
      <c r="AI37" s="23" t="str">
        <f ca="1">IF(Message&lt;&gt;"",Message,+AK36*RealEstate!AB$115)</f>
        <v>EXPIRED</v>
      </c>
      <c r="AJ37" s="23" t="str">
        <f ca="1">IF(Message&lt;&gt;"",Message,+IF(AC37&gt;0,-AC37*RealEstate!AB$113,IF(AK36&lt;=0.1,0,IF(AA38=0,AK36,IF(AJ36&gt;0,SUM(AI36:AJ36)-AI37,AK36/100000*AB$116-AI37)))))</f>
        <v>EXPIRED</v>
      </c>
      <c r="AK37" s="44" t="str">
        <f ca="1">IF(Message&lt;&gt;"",Message,+IF(AC37&gt;0,AC37*RealEstate!AB$113,AK36-AJ37))</f>
        <v>EXPIRED</v>
      </c>
      <c r="AL37" s="20" t="str">
        <f t="shared" ca="1" si="17"/>
        <v>EXPIRED</v>
      </c>
      <c r="AM37" s="40"/>
    </row>
    <row r="38" spans="1:39" ht="14.45" x14ac:dyDescent="0.3">
      <c r="A38" s="14">
        <f t="shared" si="18"/>
        <v>33</v>
      </c>
      <c r="B38" s="14">
        <f t="shared" si="18"/>
        <v>73</v>
      </c>
      <c r="C38" s="38">
        <f t="shared" si="20"/>
        <v>1.9222314039431516</v>
      </c>
      <c r="E38" s="23">
        <f t="shared" ca="1" si="21"/>
        <v>0</v>
      </c>
      <c r="F38" s="20">
        <f t="shared" ca="1" si="12"/>
        <v>0</v>
      </c>
      <c r="G38" s="20">
        <f t="shared" ca="1" si="13"/>
        <v>0</v>
      </c>
      <c r="H38" s="23">
        <f t="shared" ref="H38:H69" ca="1" si="22">+SUMIF($4:$4,"Property Tax",38:38)</f>
        <v>0</v>
      </c>
      <c r="I38" s="20">
        <f t="shared" ref="I38:I69" ca="1" si="23">+SUMIF($4:$4,"Mortgage Interest",38:38)</f>
        <v>0</v>
      </c>
      <c r="J38" s="20">
        <f t="shared" ref="J38:J69" ca="1" si="24">+SUMIF($4:$4,"Mortgage Interest",38:38)+SUMIF($4:$4,"Mortgage Principal",38:38)</f>
        <v>0</v>
      </c>
      <c r="K38" s="23">
        <f t="shared" ca="1" si="19"/>
        <v>0</v>
      </c>
      <c r="L38" s="23">
        <f t="shared" ref="L38:L69" ca="1" si="25">+SUMIF($4:$4,"Net Cash Flow",38:38)</f>
        <v>0</v>
      </c>
      <c r="M38" s="40"/>
      <c r="N38" s="20" t="str">
        <f ca="1">IF(Message&lt;&gt;"",Message,IF(OR($B38&gt;RealEstate!O$112,$B38&lt;RealEstate!O$111),0,RealEstate!O$109*(1+inflation+RealEstate!O$110)^$A38))</f>
        <v>EXPIRED</v>
      </c>
      <c r="O38" s="23" t="str">
        <f t="shared" ca="1" si="14"/>
        <v>EXPIRED</v>
      </c>
      <c r="P38" s="23" t="str">
        <f ca="1">IF(Message&lt;&gt;"",Message,IF($B38=RealEstate!O$111,N38*(1+$C$3),0)+IF(B38=RealEstate!O$112,-N38*(1-$C$2),0))</f>
        <v>EXPIRED</v>
      </c>
      <c r="Q38" s="53" t="str">
        <f ca="1">IF(Message&lt;&gt;"",Message,+IF(P38&lt;0,MAX(0,N38 - RealEstate!O$109*(1+RealEstate!O$110)^(MAX(age,RealEstate!O$111)-age)-Taxes!$B$11*$C38),0))</f>
        <v>EXPIRED</v>
      </c>
      <c r="R38" s="43" t="str">
        <f ca="1">IF(Message&lt;&gt;"",Message,IF(AND(P38&lt;=0,N38&gt;0),+N38*RealEstate!O$117,0))</f>
        <v>EXPIRED</v>
      </c>
      <c r="S38" s="23" t="str">
        <f ca="1">IF(Message&lt;&gt;"",Message,IF(AND(P38&lt;=0,N38&gt;0),+N38*RealEstate!O$118,0))</f>
        <v>EXPIRED</v>
      </c>
      <c r="T38" s="23" t="str">
        <f ca="1">IF(Message&lt;&gt;"",Message,IF(AND(P38&lt;=0,N38&gt;0),+RealEstate!O$119*$C38,0))</f>
        <v>EXPIRED</v>
      </c>
      <c r="U38" s="44" t="str">
        <f ca="1">IF(Message&lt;&gt;"",Message,IF(AND(P38&lt;=0,N38&gt;0),+RealEstate!O$120*$C38,0))</f>
        <v>EXPIRED</v>
      </c>
      <c r="V38" s="23" t="str">
        <f ca="1">IF(Message&lt;&gt;"",Message,+X37*RealEstate!O$115)</f>
        <v>EXPIRED</v>
      </c>
      <c r="W38" s="23" t="str">
        <f ca="1">IF(Message&lt;&gt;"",Message,+IF(P38&gt;0,-P38*RealEstate!O$113,IF(X37&lt;=0.1,0,IF(N39=0,X37,IF(W37&gt;0,SUM(V37:W37)-V38,X37/100000*O$116-V38)))))</f>
        <v>EXPIRED</v>
      </c>
      <c r="X38" s="44" t="str">
        <f ca="1">IF(Message&lt;&gt;"",Message,+IF(P38&gt;0,P38*RealEstate!O$113,X37-W38))</f>
        <v>EXPIRED</v>
      </c>
      <c r="Y38" s="20" t="str">
        <f t="shared" ca="1" si="15"/>
        <v>EXPIRED</v>
      </c>
      <c r="Z38" s="40"/>
      <c r="AA38" s="20" t="str">
        <f ca="1">IF(Message&lt;&gt;"",Message,IF(OR($B38&gt;RealEstate!AB$112,$B38&lt;RealEstate!AB$111),0,RealEstate!AB$109*(1+inflation+RealEstate!AB$110)^$A38))</f>
        <v>EXPIRED</v>
      </c>
      <c r="AB38" s="23" t="str">
        <f t="shared" ca="1" si="16"/>
        <v>EXPIRED</v>
      </c>
      <c r="AC38" s="23" t="str">
        <f ca="1">IF(Message&lt;&gt;"",Message,IF($B38=RealEstate!AB$111,AA38*(1+$C$3),0)+IF(O38=RealEstate!AB$112,-AA38*(1-$C$2),0))</f>
        <v>EXPIRED</v>
      </c>
      <c r="AD38" s="53" t="str">
        <f ca="1">IF(Message&lt;&gt;"",Message,+IF(AC38&lt;0,MAX(0,AA38 - RealEstate!AB$109*(1+RealEstate!AB$110)^(MAX(age,RealEstate!AB$111)-age)-Taxes!$B$11*$C38),0))</f>
        <v>EXPIRED</v>
      </c>
      <c r="AE38" s="43" t="str">
        <f ca="1">IF(Message&lt;&gt;"",Message,IF(AND(AC38&lt;=0,AA38&gt;0),+AA38*RealEstate!AB$117,0))</f>
        <v>EXPIRED</v>
      </c>
      <c r="AF38" s="23" t="str">
        <f ca="1">IF(Message&lt;&gt;"",Message,IF(AND(AC38&lt;=0,AA38&gt;0),+AA38*RealEstate!AB$118,0))</f>
        <v>EXPIRED</v>
      </c>
      <c r="AG38" s="23" t="str">
        <f ca="1">IF(Message&lt;&gt;"",Message,IF(AND(AC38&lt;=0,AA38&gt;0),+RealEstate!AB$119*$C38,0))</f>
        <v>EXPIRED</v>
      </c>
      <c r="AH38" s="44" t="str">
        <f ca="1">IF(Message&lt;&gt;"",Message,IF(AND(AC38&lt;=0,AA38&gt;0),+RealEstate!AB$120*$C38,0))</f>
        <v>EXPIRED</v>
      </c>
      <c r="AI38" s="23" t="str">
        <f ca="1">IF(Message&lt;&gt;"",Message,+AK37*RealEstate!AB$115)</f>
        <v>EXPIRED</v>
      </c>
      <c r="AJ38" s="23" t="str">
        <f ca="1">IF(Message&lt;&gt;"",Message,+IF(AC38&gt;0,-AC38*RealEstate!AB$113,IF(AK37&lt;=0.1,0,IF(AA39=0,AK37,IF(AJ37&gt;0,SUM(AI37:AJ37)-AI38,AK37/100000*AB$116-AI38)))))</f>
        <v>EXPIRED</v>
      </c>
      <c r="AK38" s="44" t="str">
        <f ca="1">IF(Message&lt;&gt;"",Message,+IF(AC38&gt;0,AC38*RealEstate!AB$113,AK37-AJ38))</f>
        <v>EXPIRED</v>
      </c>
      <c r="AL38" s="20" t="str">
        <f t="shared" ca="1" si="17"/>
        <v>EXPIRED</v>
      </c>
      <c r="AM38" s="40"/>
    </row>
    <row r="39" spans="1:39" ht="14.45" x14ac:dyDescent="0.3">
      <c r="A39" s="14">
        <f t="shared" ref="A39:B54" si="26">+A38+1</f>
        <v>34</v>
      </c>
      <c r="B39" s="14">
        <f t="shared" si="26"/>
        <v>74</v>
      </c>
      <c r="C39" s="38">
        <f t="shared" si="20"/>
        <v>1.9606760320220145</v>
      </c>
      <c r="E39" s="23">
        <f t="shared" ca="1" si="21"/>
        <v>0</v>
      </c>
      <c r="F39" s="20">
        <f t="shared" ca="1" si="12"/>
        <v>0</v>
      </c>
      <c r="G39" s="20">
        <f t="shared" ca="1" si="13"/>
        <v>0</v>
      </c>
      <c r="H39" s="23">
        <f t="shared" ca="1" si="22"/>
        <v>0</v>
      </c>
      <c r="I39" s="20">
        <f t="shared" ca="1" si="23"/>
        <v>0</v>
      </c>
      <c r="J39" s="20">
        <f t="shared" ca="1" si="24"/>
        <v>0</v>
      </c>
      <c r="K39" s="23">
        <f t="shared" ca="1" si="19"/>
        <v>0</v>
      </c>
      <c r="L39" s="23">
        <f t="shared" ca="1" si="25"/>
        <v>0</v>
      </c>
      <c r="M39" s="40"/>
      <c r="N39" s="20" t="str">
        <f ca="1">IF(Message&lt;&gt;"",Message,IF(OR($B39&gt;RealEstate!O$112,$B39&lt;RealEstate!O$111),0,RealEstate!O$109*(1+inflation+RealEstate!O$110)^$A39))</f>
        <v>EXPIRED</v>
      </c>
      <c r="O39" s="23" t="str">
        <f t="shared" ca="1" si="14"/>
        <v>EXPIRED</v>
      </c>
      <c r="P39" s="23" t="str">
        <f ca="1">IF(Message&lt;&gt;"",Message,IF($B39=RealEstate!O$111,N39*(1+$C$3),0)+IF(B39=RealEstate!O$112,-N39*(1-$C$2),0))</f>
        <v>EXPIRED</v>
      </c>
      <c r="Q39" s="53" t="str">
        <f ca="1">IF(Message&lt;&gt;"",Message,+IF(P39&lt;0,MAX(0,N39 - RealEstate!O$109*(1+RealEstate!O$110)^(MAX(age,RealEstate!O$111)-age)-Taxes!$B$11*$C39),0))</f>
        <v>EXPIRED</v>
      </c>
      <c r="R39" s="43" t="str">
        <f ca="1">IF(Message&lt;&gt;"",Message,IF(AND(P39&lt;=0,N39&gt;0),+N39*RealEstate!O$117,0))</f>
        <v>EXPIRED</v>
      </c>
      <c r="S39" s="23" t="str">
        <f ca="1">IF(Message&lt;&gt;"",Message,IF(AND(P39&lt;=0,N39&gt;0),+N39*RealEstate!O$118,0))</f>
        <v>EXPIRED</v>
      </c>
      <c r="T39" s="23" t="str">
        <f ca="1">IF(Message&lt;&gt;"",Message,IF(AND(P39&lt;=0,N39&gt;0),+RealEstate!O$119*$C39,0))</f>
        <v>EXPIRED</v>
      </c>
      <c r="U39" s="44" t="str">
        <f ca="1">IF(Message&lt;&gt;"",Message,IF(AND(P39&lt;=0,N39&gt;0),+RealEstate!O$120*$C39,0))</f>
        <v>EXPIRED</v>
      </c>
      <c r="V39" s="23" t="str">
        <f ca="1">IF(Message&lt;&gt;"",Message,+X38*RealEstate!O$115)</f>
        <v>EXPIRED</v>
      </c>
      <c r="W39" s="23" t="str">
        <f ca="1">IF(Message&lt;&gt;"",Message,+IF(P39&gt;0,-P39*RealEstate!O$113,IF(X38&lt;=0.1,0,IF(N40=0,X38,IF(W38&gt;0,SUM(V38:W38)-V39,X38/100000*O$116-V39)))))</f>
        <v>EXPIRED</v>
      </c>
      <c r="X39" s="44" t="str">
        <f ca="1">IF(Message&lt;&gt;"",Message,+IF(P39&gt;0,P39*RealEstate!O$113,X38-W39))</f>
        <v>EXPIRED</v>
      </c>
      <c r="Y39" s="20" t="str">
        <f t="shared" ca="1" si="15"/>
        <v>EXPIRED</v>
      </c>
      <c r="Z39" s="40"/>
      <c r="AA39" s="20" t="str">
        <f ca="1">IF(Message&lt;&gt;"",Message,IF(OR($B39&gt;RealEstate!AB$112,$B39&lt;RealEstate!AB$111),0,RealEstate!AB$109*(1+inflation+RealEstate!AB$110)^$A39))</f>
        <v>EXPIRED</v>
      </c>
      <c r="AB39" s="23" t="str">
        <f t="shared" ca="1" si="16"/>
        <v>EXPIRED</v>
      </c>
      <c r="AC39" s="23" t="str">
        <f ca="1">IF(Message&lt;&gt;"",Message,IF($B39=RealEstate!AB$111,AA39*(1+$C$3),0)+IF(O39=RealEstate!AB$112,-AA39*(1-$C$2),0))</f>
        <v>EXPIRED</v>
      </c>
      <c r="AD39" s="53" t="str">
        <f ca="1">IF(Message&lt;&gt;"",Message,+IF(AC39&lt;0,MAX(0,AA39 - RealEstate!AB$109*(1+RealEstate!AB$110)^(MAX(age,RealEstate!AB$111)-age)-Taxes!$B$11*$C39),0))</f>
        <v>EXPIRED</v>
      </c>
      <c r="AE39" s="43" t="str">
        <f ca="1">IF(Message&lt;&gt;"",Message,IF(AND(AC39&lt;=0,AA39&gt;0),+AA39*RealEstate!AB$117,0))</f>
        <v>EXPIRED</v>
      </c>
      <c r="AF39" s="23" t="str">
        <f ca="1">IF(Message&lt;&gt;"",Message,IF(AND(AC39&lt;=0,AA39&gt;0),+AA39*RealEstate!AB$118,0))</f>
        <v>EXPIRED</v>
      </c>
      <c r="AG39" s="23" t="str">
        <f ca="1">IF(Message&lt;&gt;"",Message,IF(AND(AC39&lt;=0,AA39&gt;0),+RealEstate!AB$119*$C39,0))</f>
        <v>EXPIRED</v>
      </c>
      <c r="AH39" s="44" t="str">
        <f ca="1">IF(Message&lt;&gt;"",Message,IF(AND(AC39&lt;=0,AA39&gt;0),+RealEstate!AB$120*$C39,0))</f>
        <v>EXPIRED</v>
      </c>
      <c r="AI39" s="23" t="str">
        <f ca="1">IF(Message&lt;&gt;"",Message,+AK38*RealEstate!AB$115)</f>
        <v>EXPIRED</v>
      </c>
      <c r="AJ39" s="23" t="str">
        <f ca="1">IF(Message&lt;&gt;"",Message,+IF(AC39&gt;0,-AC39*RealEstate!AB$113,IF(AK38&lt;=0.1,0,IF(AA40=0,AK38,IF(AJ38&gt;0,SUM(AI38:AJ38)-AI39,AK38/100000*AB$116-AI39)))))</f>
        <v>EXPIRED</v>
      </c>
      <c r="AK39" s="44" t="str">
        <f ca="1">IF(Message&lt;&gt;"",Message,+IF(AC39&gt;0,AC39*RealEstate!AB$113,AK38-AJ39))</f>
        <v>EXPIRED</v>
      </c>
      <c r="AL39" s="20" t="str">
        <f t="shared" ca="1" si="17"/>
        <v>EXPIRED</v>
      </c>
      <c r="AM39" s="40"/>
    </row>
    <row r="40" spans="1:39" ht="14.45" x14ac:dyDescent="0.3">
      <c r="A40" s="14">
        <f t="shared" si="26"/>
        <v>35</v>
      </c>
      <c r="B40" s="14">
        <f t="shared" si="26"/>
        <v>75</v>
      </c>
      <c r="C40" s="38">
        <f t="shared" si="20"/>
        <v>1.9998895526624547</v>
      </c>
      <c r="E40" s="23">
        <f t="shared" ca="1" si="21"/>
        <v>0</v>
      </c>
      <c r="F40" s="20">
        <f t="shared" ca="1" si="12"/>
        <v>0</v>
      </c>
      <c r="G40" s="20">
        <f t="shared" ca="1" si="13"/>
        <v>0</v>
      </c>
      <c r="H40" s="23">
        <f t="shared" ca="1" si="22"/>
        <v>0</v>
      </c>
      <c r="I40" s="20">
        <f t="shared" ca="1" si="23"/>
        <v>0</v>
      </c>
      <c r="J40" s="20">
        <f t="shared" ca="1" si="24"/>
        <v>0</v>
      </c>
      <c r="K40" s="23">
        <f t="shared" ca="1" si="19"/>
        <v>0</v>
      </c>
      <c r="L40" s="23">
        <f t="shared" ca="1" si="25"/>
        <v>0</v>
      </c>
      <c r="M40" s="40"/>
      <c r="N40" s="20" t="str">
        <f ca="1">IF(Message&lt;&gt;"",Message,IF(OR($B40&gt;RealEstate!O$112,$B40&lt;RealEstate!O$111),0,RealEstate!O$109*(1+inflation+RealEstate!O$110)^$A40))</f>
        <v>EXPIRED</v>
      </c>
      <c r="O40" s="23" t="str">
        <f t="shared" ca="1" si="14"/>
        <v>EXPIRED</v>
      </c>
      <c r="P40" s="23" t="str">
        <f ca="1">IF(Message&lt;&gt;"",Message,IF($B40=RealEstate!O$111,N40*(1+$C$3),0)+IF(B40=RealEstate!O$112,-N40*(1-$C$2),0))</f>
        <v>EXPIRED</v>
      </c>
      <c r="Q40" s="53" t="str">
        <f ca="1">IF(Message&lt;&gt;"",Message,+IF(P40&lt;0,MAX(0,N40 - RealEstate!O$109*(1+RealEstate!O$110)^(MAX(age,RealEstate!O$111)-age)-Taxes!$B$11*$C40),0))</f>
        <v>EXPIRED</v>
      </c>
      <c r="R40" s="43" t="str">
        <f ca="1">IF(Message&lt;&gt;"",Message,IF(AND(P40&lt;=0,N40&gt;0),+N40*RealEstate!O$117,0))</f>
        <v>EXPIRED</v>
      </c>
      <c r="S40" s="23" t="str">
        <f ca="1">IF(Message&lt;&gt;"",Message,IF(AND(P40&lt;=0,N40&gt;0),+N40*RealEstate!O$118,0))</f>
        <v>EXPIRED</v>
      </c>
      <c r="T40" s="23" t="str">
        <f ca="1">IF(Message&lt;&gt;"",Message,IF(AND(P40&lt;=0,N40&gt;0),+RealEstate!O$119*$C40,0))</f>
        <v>EXPIRED</v>
      </c>
      <c r="U40" s="44" t="str">
        <f ca="1">IF(Message&lt;&gt;"",Message,IF(AND(P40&lt;=0,N40&gt;0),+RealEstate!O$120*$C40,0))</f>
        <v>EXPIRED</v>
      </c>
      <c r="V40" s="23" t="str">
        <f ca="1">IF(Message&lt;&gt;"",Message,+X39*RealEstate!O$115)</f>
        <v>EXPIRED</v>
      </c>
      <c r="W40" s="23" t="str">
        <f ca="1">IF(Message&lt;&gt;"",Message,+IF(P40&gt;0,-P40*RealEstate!O$113,IF(X39&lt;=0.1,0,IF(N41=0,X39,IF(W39&gt;0,SUM(V39:W39)-V40,X39/100000*O$116-V40)))))</f>
        <v>EXPIRED</v>
      </c>
      <c r="X40" s="44" t="str">
        <f ca="1">IF(Message&lt;&gt;"",Message,+IF(P40&gt;0,P40*RealEstate!O$113,X39-W40))</f>
        <v>EXPIRED</v>
      </c>
      <c r="Y40" s="20" t="str">
        <f t="shared" ca="1" si="15"/>
        <v>EXPIRED</v>
      </c>
      <c r="Z40" s="40"/>
      <c r="AA40" s="20" t="str">
        <f ca="1">IF(Message&lt;&gt;"",Message,IF(OR($B40&gt;RealEstate!AB$112,$B40&lt;RealEstate!AB$111),0,RealEstate!AB$109*(1+inflation+RealEstate!AB$110)^$A40))</f>
        <v>EXPIRED</v>
      </c>
      <c r="AB40" s="23" t="str">
        <f t="shared" ca="1" si="16"/>
        <v>EXPIRED</v>
      </c>
      <c r="AC40" s="23" t="str">
        <f ca="1">IF(Message&lt;&gt;"",Message,IF($B40=RealEstate!AB$111,AA40*(1+$C$3),0)+IF(O40=RealEstate!AB$112,-AA40*(1-$C$2),0))</f>
        <v>EXPIRED</v>
      </c>
      <c r="AD40" s="53" t="str">
        <f ca="1">IF(Message&lt;&gt;"",Message,+IF(AC40&lt;0,MAX(0,AA40 - RealEstate!AB$109*(1+RealEstate!AB$110)^(MAX(age,RealEstate!AB$111)-age)-Taxes!$B$11*$C40),0))</f>
        <v>EXPIRED</v>
      </c>
      <c r="AE40" s="43" t="str">
        <f ca="1">IF(Message&lt;&gt;"",Message,IF(AND(AC40&lt;=0,AA40&gt;0),+AA40*RealEstate!AB$117,0))</f>
        <v>EXPIRED</v>
      </c>
      <c r="AF40" s="23" t="str">
        <f ca="1">IF(Message&lt;&gt;"",Message,IF(AND(AC40&lt;=0,AA40&gt;0),+AA40*RealEstate!AB$118,0))</f>
        <v>EXPIRED</v>
      </c>
      <c r="AG40" s="23" t="str">
        <f ca="1">IF(Message&lt;&gt;"",Message,IF(AND(AC40&lt;=0,AA40&gt;0),+RealEstate!AB$119*$C40,0))</f>
        <v>EXPIRED</v>
      </c>
      <c r="AH40" s="44" t="str">
        <f ca="1">IF(Message&lt;&gt;"",Message,IF(AND(AC40&lt;=0,AA40&gt;0),+RealEstate!AB$120*$C40,0))</f>
        <v>EXPIRED</v>
      </c>
      <c r="AI40" s="23" t="str">
        <f ca="1">IF(Message&lt;&gt;"",Message,+AK39*RealEstate!AB$115)</f>
        <v>EXPIRED</v>
      </c>
      <c r="AJ40" s="23" t="str">
        <f ca="1">IF(Message&lt;&gt;"",Message,+IF(AC40&gt;0,-AC40*RealEstate!AB$113,IF(AK39&lt;=0.1,0,IF(AA41=0,AK39,IF(AJ39&gt;0,SUM(AI39:AJ39)-AI40,AK39/100000*AB$116-AI40)))))</f>
        <v>EXPIRED</v>
      </c>
      <c r="AK40" s="44" t="str">
        <f ca="1">IF(Message&lt;&gt;"",Message,+IF(AC40&gt;0,AC40*RealEstate!AB$113,AK39-AJ40))</f>
        <v>EXPIRED</v>
      </c>
      <c r="AL40" s="20" t="str">
        <f t="shared" ca="1" si="17"/>
        <v>EXPIRED</v>
      </c>
      <c r="AM40" s="40"/>
    </row>
    <row r="41" spans="1:39" ht="14.45" x14ac:dyDescent="0.3">
      <c r="A41" s="14">
        <f t="shared" si="26"/>
        <v>36</v>
      </c>
      <c r="B41" s="14">
        <f t="shared" si="26"/>
        <v>76</v>
      </c>
      <c r="C41" s="38">
        <f t="shared" si="20"/>
        <v>2.0398873437157037</v>
      </c>
      <c r="E41" s="23">
        <f t="shared" ca="1" si="21"/>
        <v>0</v>
      </c>
      <c r="F41" s="20">
        <f t="shared" ca="1" si="12"/>
        <v>0</v>
      </c>
      <c r="G41" s="20">
        <f t="shared" ca="1" si="13"/>
        <v>0</v>
      </c>
      <c r="H41" s="23">
        <f t="shared" ca="1" si="22"/>
        <v>0</v>
      </c>
      <c r="I41" s="20">
        <f t="shared" ca="1" si="23"/>
        <v>0</v>
      </c>
      <c r="J41" s="20">
        <f t="shared" ca="1" si="24"/>
        <v>0</v>
      </c>
      <c r="K41" s="23">
        <f t="shared" ca="1" si="19"/>
        <v>0</v>
      </c>
      <c r="L41" s="23">
        <f t="shared" ca="1" si="25"/>
        <v>0</v>
      </c>
      <c r="M41" s="40"/>
      <c r="N41" s="20" t="str">
        <f ca="1">IF(Message&lt;&gt;"",Message,IF(OR($B41&gt;RealEstate!O$112,$B41&lt;RealEstate!O$111),0,RealEstate!O$109*(1+inflation+RealEstate!O$110)^$A41))</f>
        <v>EXPIRED</v>
      </c>
      <c r="O41" s="23" t="str">
        <f t="shared" ca="1" si="14"/>
        <v>EXPIRED</v>
      </c>
      <c r="P41" s="23" t="str">
        <f ca="1">IF(Message&lt;&gt;"",Message,IF($B41=RealEstate!O$111,N41*(1+$C$3),0)+IF(B41=RealEstate!O$112,-N41*(1-$C$2),0))</f>
        <v>EXPIRED</v>
      </c>
      <c r="Q41" s="53" t="str">
        <f ca="1">IF(Message&lt;&gt;"",Message,+IF(P41&lt;0,MAX(0,N41 - RealEstate!O$109*(1+RealEstate!O$110)^(MAX(age,RealEstate!O$111)-age)-Taxes!$B$11*$C41),0))</f>
        <v>EXPIRED</v>
      </c>
      <c r="R41" s="43" t="str">
        <f ca="1">IF(Message&lt;&gt;"",Message,IF(AND(P41&lt;=0,N41&gt;0),+N41*RealEstate!O$117,0))</f>
        <v>EXPIRED</v>
      </c>
      <c r="S41" s="23" t="str">
        <f ca="1">IF(Message&lt;&gt;"",Message,IF(AND(P41&lt;=0,N41&gt;0),+N41*RealEstate!O$118,0))</f>
        <v>EXPIRED</v>
      </c>
      <c r="T41" s="23" t="str">
        <f ca="1">IF(Message&lt;&gt;"",Message,IF(AND(P41&lt;=0,N41&gt;0),+RealEstate!O$119*$C41,0))</f>
        <v>EXPIRED</v>
      </c>
      <c r="U41" s="44" t="str">
        <f ca="1">IF(Message&lt;&gt;"",Message,IF(AND(P41&lt;=0,N41&gt;0),+RealEstate!O$120*$C41,0))</f>
        <v>EXPIRED</v>
      </c>
      <c r="V41" s="23" t="str">
        <f ca="1">IF(Message&lt;&gt;"",Message,+X40*RealEstate!O$115)</f>
        <v>EXPIRED</v>
      </c>
      <c r="W41" s="23" t="str">
        <f ca="1">IF(Message&lt;&gt;"",Message,+IF(P41&gt;0,-P41*RealEstate!O$113,IF(X40&lt;=0.1,0,IF(N42=0,X40,IF(W40&gt;0,SUM(V40:W40)-V41,X40/100000*O$116-V41)))))</f>
        <v>EXPIRED</v>
      </c>
      <c r="X41" s="44" t="str">
        <f ca="1">IF(Message&lt;&gt;"",Message,+IF(P41&gt;0,P41*RealEstate!O$113,X40-W41))</f>
        <v>EXPIRED</v>
      </c>
      <c r="Y41" s="20" t="str">
        <f t="shared" ca="1" si="15"/>
        <v>EXPIRED</v>
      </c>
      <c r="Z41" s="40"/>
      <c r="AA41" s="20" t="str">
        <f ca="1">IF(Message&lt;&gt;"",Message,IF(OR($B41&gt;RealEstate!AB$112,$B41&lt;RealEstate!AB$111),0,RealEstate!AB$109*(1+inflation+RealEstate!AB$110)^$A41))</f>
        <v>EXPIRED</v>
      </c>
      <c r="AB41" s="23" t="str">
        <f t="shared" ca="1" si="16"/>
        <v>EXPIRED</v>
      </c>
      <c r="AC41" s="23" t="str">
        <f ca="1">IF(Message&lt;&gt;"",Message,IF($B41=RealEstate!AB$111,AA41*(1+$C$3),0)+IF(O41=RealEstate!AB$112,-AA41*(1-$C$2),0))</f>
        <v>EXPIRED</v>
      </c>
      <c r="AD41" s="53" t="str">
        <f ca="1">IF(Message&lt;&gt;"",Message,+IF(AC41&lt;0,MAX(0,AA41 - RealEstate!AB$109*(1+RealEstate!AB$110)^(MAX(age,RealEstate!AB$111)-age)-Taxes!$B$11*$C41),0))</f>
        <v>EXPIRED</v>
      </c>
      <c r="AE41" s="43" t="str">
        <f ca="1">IF(Message&lt;&gt;"",Message,IF(AND(AC41&lt;=0,AA41&gt;0),+AA41*RealEstate!AB$117,0))</f>
        <v>EXPIRED</v>
      </c>
      <c r="AF41" s="23" t="str">
        <f ca="1">IF(Message&lt;&gt;"",Message,IF(AND(AC41&lt;=0,AA41&gt;0),+AA41*RealEstate!AB$118,0))</f>
        <v>EXPIRED</v>
      </c>
      <c r="AG41" s="23" t="str">
        <f ca="1">IF(Message&lt;&gt;"",Message,IF(AND(AC41&lt;=0,AA41&gt;0),+RealEstate!AB$119*$C41,0))</f>
        <v>EXPIRED</v>
      </c>
      <c r="AH41" s="44" t="str">
        <f ca="1">IF(Message&lt;&gt;"",Message,IF(AND(AC41&lt;=0,AA41&gt;0),+RealEstate!AB$120*$C41,0))</f>
        <v>EXPIRED</v>
      </c>
      <c r="AI41" s="23" t="str">
        <f ca="1">IF(Message&lt;&gt;"",Message,+AK40*RealEstate!AB$115)</f>
        <v>EXPIRED</v>
      </c>
      <c r="AJ41" s="23" t="str">
        <f ca="1">IF(Message&lt;&gt;"",Message,+IF(AC41&gt;0,-AC41*RealEstate!AB$113,IF(AK40&lt;=0.1,0,IF(AA42=0,AK40,IF(AJ40&gt;0,SUM(AI40:AJ40)-AI41,AK40/100000*AB$116-AI41)))))</f>
        <v>EXPIRED</v>
      </c>
      <c r="AK41" s="44" t="str">
        <f ca="1">IF(Message&lt;&gt;"",Message,+IF(AC41&gt;0,AC41*RealEstate!AB$113,AK40-AJ41))</f>
        <v>EXPIRED</v>
      </c>
      <c r="AL41" s="20" t="str">
        <f t="shared" ca="1" si="17"/>
        <v>EXPIRED</v>
      </c>
      <c r="AM41" s="40"/>
    </row>
    <row r="42" spans="1:39" ht="14.45" x14ac:dyDescent="0.3">
      <c r="A42" s="14">
        <f t="shared" si="26"/>
        <v>37</v>
      </c>
      <c r="B42" s="14">
        <f t="shared" si="26"/>
        <v>77</v>
      </c>
      <c r="C42" s="38">
        <f t="shared" si="20"/>
        <v>2.080685090590018</v>
      </c>
      <c r="E42" s="23">
        <f t="shared" ca="1" si="21"/>
        <v>0</v>
      </c>
      <c r="F42" s="20">
        <f t="shared" ca="1" si="12"/>
        <v>0</v>
      </c>
      <c r="G42" s="20">
        <f t="shared" ca="1" si="13"/>
        <v>0</v>
      </c>
      <c r="H42" s="23">
        <f t="shared" ca="1" si="22"/>
        <v>0</v>
      </c>
      <c r="I42" s="20">
        <f t="shared" ca="1" si="23"/>
        <v>0</v>
      </c>
      <c r="J42" s="20">
        <f t="shared" ca="1" si="24"/>
        <v>0</v>
      </c>
      <c r="K42" s="23">
        <f t="shared" ca="1" si="19"/>
        <v>0</v>
      </c>
      <c r="L42" s="23">
        <f t="shared" ca="1" si="25"/>
        <v>0</v>
      </c>
      <c r="M42" s="40"/>
      <c r="N42" s="20" t="str">
        <f ca="1">IF(Message&lt;&gt;"",Message,IF(OR($B42&gt;RealEstate!O$112,$B42&lt;RealEstate!O$111),0,RealEstate!O$109*(1+inflation+RealEstate!O$110)^$A42))</f>
        <v>EXPIRED</v>
      </c>
      <c r="O42" s="23" t="str">
        <f t="shared" ca="1" si="14"/>
        <v>EXPIRED</v>
      </c>
      <c r="P42" s="23" t="str">
        <f ca="1">IF(Message&lt;&gt;"",Message,IF($B42=RealEstate!O$111,N42*(1+$C$3),0)+IF(B42=RealEstate!O$112,-N42*(1-$C$2),0))</f>
        <v>EXPIRED</v>
      </c>
      <c r="Q42" s="53" t="str">
        <f ca="1">IF(Message&lt;&gt;"",Message,+IF(P42&lt;0,MAX(0,N42 - RealEstate!O$109*(1+RealEstate!O$110)^(MAX(age,RealEstate!O$111)-age)-Taxes!$B$11*$C42),0))</f>
        <v>EXPIRED</v>
      </c>
      <c r="R42" s="43" t="str">
        <f ca="1">IF(Message&lt;&gt;"",Message,IF(AND(P42&lt;=0,N42&gt;0),+N42*RealEstate!O$117,0))</f>
        <v>EXPIRED</v>
      </c>
      <c r="S42" s="23" t="str">
        <f ca="1">IF(Message&lt;&gt;"",Message,IF(AND(P42&lt;=0,N42&gt;0),+N42*RealEstate!O$118,0))</f>
        <v>EXPIRED</v>
      </c>
      <c r="T42" s="23" t="str">
        <f ca="1">IF(Message&lt;&gt;"",Message,IF(AND(P42&lt;=0,N42&gt;0),+RealEstate!O$119*$C42,0))</f>
        <v>EXPIRED</v>
      </c>
      <c r="U42" s="44" t="str">
        <f ca="1">IF(Message&lt;&gt;"",Message,IF(AND(P42&lt;=0,N42&gt;0),+RealEstate!O$120*$C42,0))</f>
        <v>EXPIRED</v>
      </c>
      <c r="V42" s="23" t="str">
        <f ca="1">IF(Message&lt;&gt;"",Message,+X41*RealEstate!O$115)</f>
        <v>EXPIRED</v>
      </c>
      <c r="W42" s="23" t="str">
        <f ca="1">IF(Message&lt;&gt;"",Message,+IF(P42&gt;0,-P42*RealEstate!O$113,IF(X41&lt;=0.1,0,IF(N43=0,X41,IF(W41&gt;0,SUM(V41:W41)-V42,X41/100000*O$116-V42)))))</f>
        <v>EXPIRED</v>
      </c>
      <c r="X42" s="44" t="str">
        <f ca="1">IF(Message&lt;&gt;"",Message,+IF(P42&gt;0,P42*RealEstate!O$113,X41-W42))</f>
        <v>EXPIRED</v>
      </c>
      <c r="Y42" s="20" t="str">
        <f t="shared" ca="1" si="15"/>
        <v>EXPIRED</v>
      </c>
      <c r="Z42" s="40"/>
      <c r="AA42" s="20" t="str">
        <f ca="1">IF(Message&lt;&gt;"",Message,IF(OR($B42&gt;RealEstate!AB$112,$B42&lt;RealEstate!AB$111),0,RealEstate!AB$109*(1+inflation+RealEstate!AB$110)^$A42))</f>
        <v>EXPIRED</v>
      </c>
      <c r="AB42" s="23" t="str">
        <f t="shared" ca="1" si="16"/>
        <v>EXPIRED</v>
      </c>
      <c r="AC42" s="23" t="str">
        <f ca="1">IF(Message&lt;&gt;"",Message,IF($B42=RealEstate!AB$111,AA42*(1+$C$3),0)+IF(O42=RealEstate!AB$112,-AA42*(1-$C$2),0))</f>
        <v>EXPIRED</v>
      </c>
      <c r="AD42" s="53" t="str">
        <f ca="1">IF(Message&lt;&gt;"",Message,+IF(AC42&lt;0,MAX(0,AA42 - RealEstate!AB$109*(1+RealEstate!AB$110)^(MAX(age,RealEstate!AB$111)-age)-Taxes!$B$11*$C42),0))</f>
        <v>EXPIRED</v>
      </c>
      <c r="AE42" s="43" t="str">
        <f ca="1">IF(Message&lt;&gt;"",Message,IF(AND(AC42&lt;=0,AA42&gt;0),+AA42*RealEstate!AB$117,0))</f>
        <v>EXPIRED</v>
      </c>
      <c r="AF42" s="23" t="str">
        <f ca="1">IF(Message&lt;&gt;"",Message,IF(AND(AC42&lt;=0,AA42&gt;0),+AA42*RealEstate!AB$118,0))</f>
        <v>EXPIRED</v>
      </c>
      <c r="AG42" s="23" t="str">
        <f ca="1">IF(Message&lt;&gt;"",Message,IF(AND(AC42&lt;=0,AA42&gt;0),+RealEstate!AB$119*$C42,0))</f>
        <v>EXPIRED</v>
      </c>
      <c r="AH42" s="44" t="str">
        <f ca="1">IF(Message&lt;&gt;"",Message,IF(AND(AC42&lt;=0,AA42&gt;0),+RealEstate!AB$120*$C42,0))</f>
        <v>EXPIRED</v>
      </c>
      <c r="AI42" s="23" t="str">
        <f ca="1">IF(Message&lt;&gt;"",Message,+AK41*RealEstate!AB$115)</f>
        <v>EXPIRED</v>
      </c>
      <c r="AJ42" s="23" t="str">
        <f ca="1">IF(Message&lt;&gt;"",Message,+IF(AC42&gt;0,-AC42*RealEstate!AB$113,IF(AK41&lt;=0.1,0,IF(AA43=0,AK41,IF(AJ41&gt;0,SUM(AI41:AJ41)-AI42,AK41/100000*AB$116-AI42)))))</f>
        <v>EXPIRED</v>
      </c>
      <c r="AK42" s="44" t="str">
        <f ca="1">IF(Message&lt;&gt;"",Message,+IF(AC42&gt;0,AC42*RealEstate!AB$113,AK41-AJ42))</f>
        <v>EXPIRED</v>
      </c>
      <c r="AL42" s="20" t="str">
        <f t="shared" ca="1" si="17"/>
        <v>EXPIRED</v>
      </c>
      <c r="AM42" s="40"/>
    </row>
    <row r="43" spans="1:39" ht="14.45" x14ac:dyDescent="0.3">
      <c r="A43" s="14">
        <f t="shared" si="26"/>
        <v>38</v>
      </c>
      <c r="B43" s="14">
        <f t="shared" si="26"/>
        <v>78</v>
      </c>
      <c r="C43" s="38">
        <f t="shared" si="20"/>
        <v>2.1222987924018186</v>
      </c>
      <c r="E43" s="23">
        <f t="shared" ca="1" si="21"/>
        <v>0</v>
      </c>
      <c r="F43" s="20">
        <f t="shared" ca="1" si="12"/>
        <v>0</v>
      </c>
      <c r="G43" s="20">
        <f t="shared" ca="1" si="13"/>
        <v>0</v>
      </c>
      <c r="H43" s="23">
        <f t="shared" ca="1" si="22"/>
        <v>0</v>
      </c>
      <c r="I43" s="20">
        <f t="shared" ca="1" si="23"/>
        <v>0</v>
      </c>
      <c r="J43" s="20">
        <f t="shared" ca="1" si="24"/>
        <v>0</v>
      </c>
      <c r="K43" s="23">
        <f t="shared" ca="1" si="19"/>
        <v>0</v>
      </c>
      <c r="L43" s="23">
        <f t="shared" ca="1" si="25"/>
        <v>0</v>
      </c>
      <c r="M43" s="40"/>
      <c r="N43" s="20" t="str">
        <f ca="1">IF(Message&lt;&gt;"",Message,IF(OR($B43&gt;RealEstate!O$112,$B43&lt;RealEstate!O$111),0,RealEstate!O$109*(1+inflation+RealEstate!O$110)^$A43))</f>
        <v>EXPIRED</v>
      </c>
      <c r="O43" s="23" t="str">
        <f t="shared" ref="O43:O74" ca="1" si="27">IF(Message&lt;&gt;"",Message,IF(P43&lt;0,0,N43-X43))</f>
        <v>EXPIRED</v>
      </c>
      <c r="P43" s="23" t="str">
        <f ca="1">IF(Message&lt;&gt;"",Message,IF($B43=RealEstate!O$111,N43*(1+$C$3),0)+IF(B43=RealEstate!O$112,-N43*(1-$C$2),0))</f>
        <v>EXPIRED</v>
      </c>
      <c r="Q43" s="53" t="str">
        <f ca="1">IF(Message&lt;&gt;"",Message,+IF(P43&lt;0,MAX(0,N43 - RealEstate!O$109*(1+RealEstate!O$110)^(MAX(age,RealEstate!O$111)-age)-Taxes!$B$11*$C43),0))</f>
        <v>EXPIRED</v>
      </c>
      <c r="R43" s="43" t="str">
        <f ca="1">IF(Message&lt;&gt;"",Message,IF(AND(P43&lt;=0,N43&gt;0),+N43*RealEstate!O$117,0))</f>
        <v>EXPIRED</v>
      </c>
      <c r="S43" s="23" t="str">
        <f ca="1">IF(Message&lt;&gt;"",Message,IF(AND(P43&lt;=0,N43&gt;0),+N43*RealEstate!O$118,0))</f>
        <v>EXPIRED</v>
      </c>
      <c r="T43" s="23" t="str">
        <f ca="1">IF(Message&lt;&gt;"",Message,IF(AND(P43&lt;=0,N43&gt;0),+RealEstate!O$119*$C43,0))</f>
        <v>EXPIRED</v>
      </c>
      <c r="U43" s="44" t="str">
        <f ca="1">IF(Message&lt;&gt;"",Message,IF(AND(P43&lt;=0,N43&gt;0),+RealEstate!O$120*$C43,0))</f>
        <v>EXPIRED</v>
      </c>
      <c r="V43" s="23" t="str">
        <f ca="1">IF(Message&lt;&gt;"",Message,+X42*RealEstate!O$115)</f>
        <v>EXPIRED</v>
      </c>
      <c r="W43" s="23" t="str">
        <f ca="1">IF(Message&lt;&gt;"",Message,+IF(P43&gt;0,-P43*RealEstate!O$113,IF(X42&lt;=0.1,0,IF(N44=0,X42,IF(W42&gt;0,SUM(V42:W42)-V43,X42/100000*O$116-V43)))))</f>
        <v>EXPIRED</v>
      </c>
      <c r="X43" s="44" t="str">
        <f ca="1">IF(Message&lt;&gt;"",Message,+IF(P43&gt;0,P43*RealEstate!O$113,X42-W43))</f>
        <v>EXPIRED</v>
      </c>
      <c r="Y43" s="20" t="str">
        <f t="shared" ref="Y43:Y74" ca="1" si="28">IF(Message&lt;&gt;"",Message,-P43-SUM(V43:W43)-SUM(R43:U43))</f>
        <v>EXPIRED</v>
      </c>
      <c r="Z43" s="40"/>
      <c r="AA43" s="20" t="str">
        <f ca="1">IF(Message&lt;&gt;"",Message,IF(OR($B43&gt;RealEstate!AB$112,$B43&lt;RealEstate!AB$111),0,RealEstate!AB$109*(1+inflation+RealEstate!AB$110)^$A43))</f>
        <v>EXPIRED</v>
      </c>
      <c r="AB43" s="23" t="str">
        <f t="shared" ref="AB43:AB74" ca="1" si="29">IF(Message&lt;&gt;"",Message,IF(AC43&lt;0,0,AA43-AK43))</f>
        <v>EXPIRED</v>
      </c>
      <c r="AC43" s="23" t="str">
        <f ca="1">IF(Message&lt;&gt;"",Message,IF($B43=RealEstate!AB$111,AA43*(1+$C$3),0)+IF(O43=RealEstate!AB$112,-AA43*(1-$C$2),0))</f>
        <v>EXPIRED</v>
      </c>
      <c r="AD43" s="53" t="str">
        <f ca="1">IF(Message&lt;&gt;"",Message,+IF(AC43&lt;0,MAX(0,AA43 - RealEstate!AB$109*(1+RealEstate!AB$110)^(MAX(age,RealEstate!AB$111)-age)-Taxes!$B$11*$C43),0))</f>
        <v>EXPIRED</v>
      </c>
      <c r="AE43" s="43" t="str">
        <f ca="1">IF(Message&lt;&gt;"",Message,IF(AND(AC43&lt;=0,AA43&gt;0),+AA43*RealEstate!AB$117,0))</f>
        <v>EXPIRED</v>
      </c>
      <c r="AF43" s="23" t="str">
        <f ca="1">IF(Message&lt;&gt;"",Message,IF(AND(AC43&lt;=0,AA43&gt;0),+AA43*RealEstate!AB$118,0))</f>
        <v>EXPIRED</v>
      </c>
      <c r="AG43" s="23" t="str">
        <f ca="1">IF(Message&lt;&gt;"",Message,IF(AND(AC43&lt;=0,AA43&gt;0),+RealEstate!AB$119*$C43,0))</f>
        <v>EXPIRED</v>
      </c>
      <c r="AH43" s="44" t="str">
        <f ca="1">IF(Message&lt;&gt;"",Message,IF(AND(AC43&lt;=0,AA43&gt;0),+RealEstate!AB$120*$C43,0))</f>
        <v>EXPIRED</v>
      </c>
      <c r="AI43" s="23" t="str">
        <f ca="1">IF(Message&lt;&gt;"",Message,+AK42*RealEstate!AB$115)</f>
        <v>EXPIRED</v>
      </c>
      <c r="AJ43" s="23" t="str">
        <f ca="1">IF(Message&lt;&gt;"",Message,+IF(AC43&gt;0,-AC43*RealEstate!AB$113,IF(AK42&lt;=0.1,0,IF(AA44=0,AK42,IF(AJ42&gt;0,SUM(AI42:AJ42)-AI43,AK42/100000*AB$116-AI43)))))</f>
        <v>EXPIRED</v>
      </c>
      <c r="AK43" s="44" t="str">
        <f ca="1">IF(Message&lt;&gt;"",Message,+IF(AC43&gt;0,AC43*RealEstate!AB$113,AK42-AJ43))</f>
        <v>EXPIRED</v>
      </c>
      <c r="AL43" s="20" t="str">
        <f t="shared" ref="AL43:AL74" ca="1" si="30">IF(Message&lt;&gt;"",Message,-AC43-SUM(AI43:AJ43)-SUM(AE43:AH43))</f>
        <v>EXPIRED</v>
      </c>
      <c r="AM43" s="40"/>
    </row>
    <row r="44" spans="1:39" ht="14.45" x14ac:dyDescent="0.3">
      <c r="A44" s="14">
        <f t="shared" si="26"/>
        <v>39</v>
      </c>
      <c r="B44" s="14">
        <f t="shared" si="26"/>
        <v>79</v>
      </c>
      <c r="C44" s="38">
        <f t="shared" si="20"/>
        <v>2.1647447682498542</v>
      </c>
      <c r="E44" s="23">
        <f t="shared" ca="1" si="21"/>
        <v>0</v>
      </c>
      <c r="F44" s="20">
        <f t="shared" ca="1" si="12"/>
        <v>0</v>
      </c>
      <c r="G44" s="20">
        <f t="shared" ca="1" si="13"/>
        <v>0</v>
      </c>
      <c r="H44" s="23">
        <f t="shared" ca="1" si="22"/>
        <v>0</v>
      </c>
      <c r="I44" s="20">
        <f t="shared" ca="1" si="23"/>
        <v>0</v>
      </c>
      <c r="J44" s="20">
        <f t="shared" ca="1" si="24"/>
        <v>0</v>
      </c>
      <c r="K44" s="23">
        <f t="shared" ca="1" si="19"/>
        <v>0</v>
      </c>
      <c r="L44" s="23">
        <f t="shared" ca="1" si="25"/>
        <v>0</v>
      </c>
      <c r="M44" s="40"/>
      <c r="N44" s="20" t="str">
        <f ca="1">IF(Message&lt;&gt;"",Message,IF(OR($B44&gt;RealEstate!O$112,$B44&lt;RealEstate!O$111),0,RealEstate!O$109*(1+inflation+RealEstate!O$110)^$A44))</f>
        <v>EXPIRED</v>
      </c>
      <c r="O44" s="23" t="str">
        <f t="shared" ca="1" si="27"/>
        <v>EXPIRED</v>
      </c>
      <c r="P44" s="23" t="str">
        <f ca="1">IF(Message&lt;&gt;"",Message,IF($B44=RealEstate!O$111,N44*(1+$C$3),0)+IF(B44=RealEstate!O$112,-N44*(1-$C$2),0))</f>
        <v>EXPIRED</v>
      </c>
      <c r="Q44" s="53" t="str">
        <f ca="1">IF(Message&lt;&gt;"",Message,+IF(P44&lt;0,MAX(0,N44 - RealEstate!O$109*(1+RealEstate!O$110)^(MAX(age,RealEstate!O$111)-age)-Taxes!$B$11*$C44),0))</f>
        <v>EXPIRED</v>
      </c>
      <c r="R44" s="43" t="str">
        <f ca="1">IF(Message&lt;&gt;"",Message,IF(AND(P44&lt;=0,N44&gt;0),+N44*RealEstate!O$117,0))</f>
        <v>EXPIRED</v>
      </c>
      <c r="S44" s="23" t="str">
        <f ca="1">IF(Message&lt;&gt;"",Message,IF(AND(P44&lt;=0,N44&gt;0),+N44*RealEstate!O$118,0))</f>
        <v>EXPIRED</v>
      </c>
      <c r="T44" s="23" t="str">
        <f ca="1">IF(Message&lt;&gt;"",Message,IF(AND(P44&lt;=0,N44&gt;0),+RealEstate!O$119*$C44,0))</f>
        <v>EXPIRED</v>
      </c>
      <c r="U44" s="44" t="str">
        <f ca="1">IF(Message&lt;&gt;"",Message,IF(AND(P44&lt;=0,N44&gt;0),+RealEstate!O$120*$C44,0))</f>
        <v>EXPIRED</v>
      </c>
      <c r="V44" s="23" t="str">
        <f ca="1">IF(Message&lt;&gt;"",Message,+X43*RealEstate!O$115)</f>
        <v>EXPIRED</v>
      </c>
      <c r="W44" s="23" t="str">
        <f ca="1">IF(Message&lt;&gt;"",Message,+IF(P44&gt;0,-P44*RealEstate!O$113,IF(X43&lt;=0.1,0,IF(N45=0,X43,IF(W43&gt;0,SUM(V43:W43)-V44,X43/100000*O$116-V44)))))</f>
        <v>EXPIRED</v>
      </c>
      <c r="X44" s="44" t="str">
        <f ca="1">IF(Message&lt;&gt;"",Message,+IF(P44&gt;0,P44*RealEstate!O$113,X43-W44))</f>
        <v>EXPIRED</v>
      </c>
      <c r="Y44" s="20" t="str">
        <f t="shared" ca="1" si="28"/>
        <v>EXPIRED</v>
      </c>
      <c r="Z44" s="40"/>
      <c r="AA44" s="20" t="str">
        <f ca="1">IF(Message&lt;&gt;"",Message,IF(OR($B44&gt;RealEstate!AB$112,$B44&lt;RealEstate!AB$111),0,RealEstate!AB$109*(1+inflation+RealEstate!AB$110)^$A44))</f>
        <v>EXPIRED</v>
      </c>
      <c r="AB44" s="23" t="str">
        <f t="shared" ca="1" si="29"/>
        <v>EXPIRED</v>
      </c>
      <c r="AC44" s="23" t="str">
        <f ca="1">IF(Message&lt;&gt;"",Message,IF($B44=RealEstate!AB$111,AA44*(1+$C$3),0)+IF(O44=RealEstate!AB$112,-AA44*(1-$C$2),0))</f>
        <v>EXPIRED</v>
      </c>
      <c r="AD44" s="53" t="str">
        <f ca="1">IF(Message&lt;&gt;"",Message,+IF(AC44&lt;0,MAX(0,AA44 - RealEstate!AB$109*(1+RealEstate!AB$110)^(MAX(age,RealEstate!AB$111)-age)-Taxes!$B$11*$C44),0))</f>
        <v>EXPIRED</v>
      </c>
      <c r="AE44" s="43" t="str">
        <f ca="1">IF(Message&lt;&gt;"",Message,IF(AND(AC44&lt;=0,AA44&gt;0),+AA44*RealEstate!AB$117,0))</f>
        <v>EXPIRED</v>
      </c>
      <c r="AF44" s="23" t="str">
        <f ca="1">IF(Message&lt;&gt;"",Message,IF(AND(AC44&lt;=0,AA44&gt;0),+AA44*RealEstate!AB$118,0))</f>
        <v>EXPIRED</v>
      </c>
      <c r="AG44" s="23" t="str">
        <f ca="1">IF(Message&lt;&gt;"",Message,IF(AND(AC44&lt;=0,AA44&gt;0),+RealEstate!AB$119*$C44,0))</f>
        <v>EXPIRED</v>
      </c>
      <c r="AH44" s="44" t="str">
        <f ca="1">IF(Message&lt;&gt;"",Message,IF(AND(AC44&lt;=0,AA44&gt;0),+RealEstate!AB$120*$C44,0))</f>
        <v>EXPIRED</v>
      </c>
      <c r="AI44" s="23" t="str">
        <f ca="1">IF(Message&lt;&gt;"",Message,+AK43*RealEstate!AB$115)</f>
        <v>EXPIRED</v>
      </c>
      <c r="AJ44" s="23" t="str">
        <f ca="1">IF(Message&lt;&gt;"",Message,+IF(AC44&gt;0,-AC44*RealEstate!AB$113,IF(AK43&lt;=0.1,0,IF(AA45=0,AK43,IF(AJ43&gt;0,SUM(AI43:AJ43)-AI44,AK43/100000*AB$116-AI44)))))</f>
        <v>EXPIRED</v>
      </c>
      <c r="AK44" s="44" t="str">
        <f ca="1">IF(Message&lt;&gt;"",Message,+IF(AC44&gt;0,AC44*RealEstate!AB$113,AK43-AJ44))</f>
        <v>EXPIRED</v>
      </c>
      <c r="AL44" s="20" t="str">
        <f t="shared" ca="1" si="30"/>
        <v>EXPIRED</v>
      </c>
      <c r="AM44" s="40"/>
    </row>
    <row r="45" spans="1:39" ht="14.45" x14ac:dyDescent="0.3">
      <c r="A45" s="14">
        <f t="shared" si="26"/>
        <v>40</v>
      </c>
      <c r="B45" s="14">
        <f t="shared" si="26"/>
        <v>80</v>
      </c>
      <c r="C45" s="38">
        <f t="shared" si="20"/>
        <v>2.2080396636148518</v>
      </c>
      <c r="E45" s="23">
        <f t="shared" ca="1" si="21"/>
        <v>0</v>
      </c>
      <c r="F45" s="20">
        <f t="shared" ca="1" si="12"/>
        <v>0</v>
      </c>
      <c r="G45" s="20">
        <f t="shared" ca="1" si="13"/>
        <v>0</v>
      </c>
      <c r="H45" s="23">
        <f t="shared" ca="1" si="22"/>
        <v>0</v>
      </c>
      <c r="I45" s="20">
        <f t="shared" ca="1" si="23"/>
        <v>0</v>
      </c>
      <c r="J45" s="20">
        <f t="shared" ca="1" si="24"/>
        <v>0</v>
      </c>
      <c r="K45" s="23">
        <f t="shared" ca="1" si="19"/>
        <v>0</v>
      </c>
      <c r="L45" s="23">
        <f t="shared" ca="1" si="25"/>
        <v>0</v>
      </c>
      <c r="M45" s="40"/>
      <c r="N45" s="20" t="str">
        <f ca="1">IF(Message&lt;&gt;"",Message,IF(OR($B45&gt;RealEstate!O$112,$B45&lt;RealEstate!O$111),0,RealEstate!O$109*(1+inflation+RealEstate!O$110)^$A45))</f>
        <v>EXPIRED</v>
      </c>
      <c r="O45" s="23" t="str">
        <f t="shared" ca="1" si="27"/>
        <v>EXPIRED</v>
      </c>
      <c r="P45" s="23" t="str">
        <f ca="1">IF(Message&lt;&gt;"",Message,IF($B45=RealEstate!O$111,N45*(1+$C$3),0)+IF(B45=RealEstate!O$112,-N45*(1-$C$2),0))</f>
        <v>EXPIRED</v>
      </c>
      <c r="Q45" s="53" t="str">
        <f ca="1">IF(Message&lt;&gt;"",Message,+IF(P45&lt;0,MAX(0,N45 - RealEstate!O$109*(1+RealEstate!O$110)^(MAX(age,RealEstate!O$111)-age)-Taxes!$B$11*$C45),0))</f>
        <v>EXPIRED</v>
      </c>
      <c r="R45" s="43" t="str">
        <f ca="1">IF(Message&lt;&gt;"",Message,IF(AND(P45&lt;=0,N45&gt;0),+N45*RealEstate!O$117,0))</f>
        <v>EXPIRED</v>
      </c>
      <c r="S45" s="23" t="str">
        <f ca="1">IF(Message&lt;&gt;"",Message,IF(AND(P45&lt;=0,N45&gt;0),+N45*RealEstate!O$118,0))</f>
        <v>EXPIRED</v>
      </c>
      <c r="T45" s="23" t="str">
        <f ca="1">IF(Message&lt;&gt;"",Message,IF(AND(P45&lt;=0,N45&gt;0),+RealEstate!O$119*$C45,0))</f>
        <v>EXPIRED</v>
      </c>
      <c r="U45" s="44" t="str">
        <f ca="1">IF(Message&lt;&gt;"",Message,IF(AND(P45&lt;=0,N45&gt;0),+RealEstate!O$120*$C45,0))</f>
        <v>EXPIRED</v>
      </c>
      <c r="V45" s="23" t="str">
        <f ca="1">IF(Message&lt;&gt;"",Message,+X44*RealEstate!O$115)</f>
        <v>EXPIRED</v>
      </c>
      <c r="W45" s="23" t="str">
        <f ca="1">IF(Message&lt;&gt;"",Message,+IF(P45&gt;0,-P45*RealEstate!O$113,IF(X44&lt;=0.1,0,IF(N46=0,X44,IF(W44&gt;0,SUM(V44:W44)-V45,X44/100000*O$116-V45)))))</f>
        <v>EXPIRED</v>
      </c>
      <c r="X45" s="44" t="str">
        <f ca="1">IF(Message&lt;&gt;"",Message,+IF(P45&gt;0,P45*RealEstate!O$113,X44-W45))</f>
        <v>EXPIRED</v>
      </c>
      <c r="Y45" s="20" t="str">
        <f t="shared" ca="1" si="28"/>
        <v>EXPIRED</v>
      </c>
      <c r="Z45" s="40"/>
      <c r="AA45" s="20" t="str">
        <f ca="1">IF(Message&lt;&gt;"",Message,IF(OR($B45&gt;RealEstate!AB$112,$B45&lt;RealEstate!AB$111),0,RealEstate!AB$109*(1+inflation+RealEstate!AB$110)^$A45))</f>
        <v>EXPIRED</v>
      </c>
      <c r="AB45" s="23" t="str">
        <f t="shared" ca="1" si="29"/>
        <v>EXPIRED</v>
      </c>
      <c r="AC45" s="23" t="str">
        <f ca="1">IF(Message&lt;&gt;"",Message,IF($B45=RealEstate!AB$111,AA45*(1+$C$3),0)+IF(O45=RealEstate!AB$112,-AA45*(1-$C$2),0))</f>
        <v>EXPIRED</v>
      </c>
      <c r="AD45" s="53" t="str">
        <f ca="1">IF(Message&lt;&gt;"",Message,+IF(AC45&lt;0,MAX(0,AA45 - RealEstate!AB$109*(1+RealEstate!AB$110)^(MAX(age,RealEstate!AB$111)-age)-Taxes!$B$11*$C45),0))</f>
        <v>EXPIRED</v>
      </c>
      <c r="AE45" s="43" t="str">
        <f ca="1">IF(Message&lt;&gt;"",Message,IF(AND(AC45&lt;=0,AA45&gt;0),+AA45*RealEstate!AB$117,0))</f>
        <v>EXPIRED</v>
      </c>
      <c r="AF45" s="23" t="str">
        <f ca="1">IF(Message&lt;&gt;"",Message,IF(AND(AC45&lt;=0,AA45&gt;0),+AA45*RealEstate!AB$118,0))</f>
        <v>EXPIRED</v>
      </c>
      <c r="AG45" s="23" t="str">
        <f ca="1">IF(Message&lt;&gt;"",Message,IF(AND(AC45&lt;=0,AA45&gt;0),+RealEstate!AB$119*$C45,0))</f>
        <v>EXPIRED</v>
      </c>
      <c r="AH45" s="44" t="str">
        <f ca="1">IF(Message&lt;&gt;"",Message,IF(AND(AC45&lt;=0,AA45&gt;0),+RealEstate!AB$120*$C45,0))</f>
        <v>EXPIRED</v>
      </c>
      <c r="AI45" s="23" t="str">
        <f ca="1">IF(Message&lt;&gt;"",Message,+AK44*RealEstate!AB$115)</f>
        <v>EXPIRED</v>
      </c>
      <c r="AJ45" s="23" t="str">
        <f ca="1">IF(Message&lt;&gt;"",Message,+IF(AC45&gt;0,-AC45*RealEstate!AB$113,IF(AK44&lt;=0.1,0,IF(AA46=0,AK44,IF(AJ44&gt;0,SUM(AI44:AJ44)-AI45,AK44/100000*AB$116-AI45)))))</f>
        <v>EXPIRED</v>
      </c>
      <c r="AK45" s="44" t="str">
        <f ca="1">IF(Message&lt;&gt;"",Message,+IF(AC45&gt;0,AC45*RealEstate!AB$113,AK44-AJ45))</f>
        <v>EXPIRED</v>
      </c>
      <c r="AL45" s="20" t="str">
        <f t="shared" ca="1" si="30"/>
        <v>EXPIRED</v>
      </c>
      <c r="AM45" s="40"/>
    </row>
    <row r="46" spans="1:39" ht="14.45" x14ac:dyDescent="0.3">
      <c r="A46" s="14">
        <f t="shared" si="26"/>
        <v>41</v>
      </c>
      <c r="B46" s="14">
        <f t="shared" si="26"/>
        <v>81</v>
      </c>
      <c r="C46" s="38">
        <f t="shared" si="20"/>
        <v>2.2522004568871488</v>
      </c>
      <c r="E46" s="23">
        <f t="shared" ca="1" si="21"/>
        <v>0</v>
      </c>
      <c r="F46" s="20">
        <f t="shared" ca="1" si="12"/>
        <v>0</v>
      </c>
      <c r="G46" s="20">
        <f t="shared" ca="1" si="13"/>
        <v>0</v>
      </c>
      <c r="H46" s="23">
        <f t="shared" ca="1" si="22"/>
        <v>0</v>
      </c>
      <c r="I46" s="20">
        <f t="shared" ca="1" si="23"/>
        <v>0</v>
      </c>
      <c r="J46" s="20">
        <f t="shared" ca="1" si="24"/>
        <v>0</v>
      </c>
      <c r="K46" s="23">
        <f t="shared" ca="1" si="19"/>
        <v>0</v>
      </c>
      <c r="L46" s="23">
        <f t="shared" ca="1" si="25"/>
        <v>0</v>
      </c>
      <c r="M46" s="40"/>
      <c r="N46" s="20" t="str">
        <f ca="1">IF(Message&lt;&gt;"",Message,IF(OR($B46&gt;RealEstate!O$112,$B46&lt;RealEstate!O$111),0,RealEstate!O$109*(1+inflation+RealEstate!O$110)^$A46))</f>
        <v>EXPIRED</v>
      </c>
      <c r="O46" s="23" t="str">
        <f t="shared" ca="1" si="27"/>
        <v>EXPIRED</v>
      </c>
      <c r="P46" s="23" t="str">
        <f ca="1">IF(Message&lt;&gt;"",Message,IF($B46=RealEstate!O$111,N46*(1+$C$3),0)+IF(B46=RealEstate!O$112,-N46*(1-$C$2),0))</f>
        <v>EXPIRED</v>
      </c>
      <c r="Q46" s="53" t="str">
        <f ca="1">IF(Message&lt;&gt;"",Message,+IF(P46&lt;0,MAX(0,N46 - RealEstate!O$109*(1+RealEstate!O$110)^(MAX(age,RealEstate!O$111)-age)-Taxes!$B$11*$C46),0))</f>
        <v>EXPIRED</v>
      </c>
      <c r="R46" s="43" t="str">
        <f ca="1">IF(Message&lt;&gt;"",Message,IF(AND(P46&lt;=0,N46&gt;0),+N46*RealEstate!O$117,0))</f>
        <v>EXPIRED</v>
      </c>
      <c r="S46" s="23" t="str">
        <f ca="1">IF(Message&lt;&gt;"",Message,IF(AND(P46&lt;=0,N46&gt;0),+N46*RealEstate!O$118,0))</f>
        <v>EXPIRED</v>
      </c>
      <c r="T46" s="23" t="str">
        <f ca="1">IF(Message&lt;&gt;"",Message,IF(AND(P46&lt;=0,N46&gt;0),+RealEstate!O$119*$C46,0))</f>
        <v>EXPIRED</v>
      </c>
      <c r="U46" s="44" t="str">
        <f ca="1">IF(Message&lt;&gt;"",Message,IF(AND(P46&lt;=0,N46&gt;0),+RealEstate!O$120*$C46,0))</f>
        <v>EXPIRED</v>
      </c>
      <c r="V46" s="23" t="str">
        <f ca="1">IF(Message&lt;&gt;"",Message,+X45*RealEstate!O$115)</f>
        <v>EXPIRED</v>
      </c>
      <c r="W46" s="23" t="str">
        <f ca="1">IF(Message&lt;&gt;"",Message,+IF(P46&gt;0,-P46*RealEstate!O$113,IF(X45&lt;=0.1,0,IF(N47=0,X45,IF(W45&gt;0,SUM(V45:W45)-V46,X45/100000*O$116-V46)))))</f>
        <v>EXPIRED</v>
      </c>
      <c r="X46" s="44" t="str">
        <f ca="1">IF(Message&lt;&gt;"",Message,+IF(P46&gt;0,P46*RealEstate!O$113,X45-W46))</f>
        <v>EXPIRED</v>
      </c>
      <c r="Y46" s="20" t="str">
        <f t="shared" ca="1" si="28"/>
        <v>EXPIRED</v>
      </c>
      <c r="Z46" s="40"/>
      <c r="AA46" s="20" t="str">
        <f ca="1">IF(Message&lt;&gt;"",Message,IF(OR($B46&gt;RealEstate!AB$112,$B46&lt;RealEstate!AB$111),0,RealEstate!AB$109*(1+inflation+RealEstate!AB$110)^$A46))</f>
        <v>EXPIRED</v>
      </c>
      <c r="AB46" s="23" t="str">
        <f t="shared" ca="1" si="29"/>
        <v>EXPIRED</v>
      </c>
      <c r="AC46" s="23" t="str">
        <f ca="1">IF(Message&lt;&gt;"",Message,IF($B46=RealEstate!AB$111,AA46*(1+$C$3),0)+IF(O46=RealEstate!AB$112,-AA46*(1-$C$2),0))</f>
        <v>EXPIRED</v>
      </c>
      <c r="AD46" s="53" t="str">
        <f ca="1">IF(Message&lt;&gt;"",Message,+IF(AC46&lt;0,MAX(0,AA46 - RealEstate!AB$109*(1+RealEstate!AB$110)^(MAX(age,RealEstate!AB$111)-age)-Taxes!$B$11*$C46),0))</f>
        <v>EXPIRED</v>
      </c>
      <c r="AE46" s="43" t="str">
        <f ca="1">IF(Message&lt;&gt;"",Message,IF(AND(AC46&lt;=0,AA46&gt;0),+AA46*RealEstate!AB$117,0))</f>
        <v>EXPIRED</v>
      </c>
      <c r="AF46" s="23" t="str">
        <f ca="1">IF(Message&lt;&gt;"",Message,IF(AND(AC46&lt;=0,AA46&gt;0),+AA46*RealEstate!AB$118,0))</f>
        <v>EXPIRED</v>
      </c>
      <c r="AG46" s="23" t="str">
        <f ca="1">IF(Message&lt;&gt;"",Message,IF(AND(AC46&lt;=0,AA46&gt;0),+RealEstate!AB$119*$C46,0))</f>
        <v>EXPIRED</v>
      </c>
      <c r="AH46" s="44" t="str">
        <f ca="1">IF(Message&lt;&gt;"",Message,IF(AND(AC46&lt;=0,AA46&gt;0),+RealEstate!AB$120*$C46,0))</f>
        <v>EXPIRED</v>
      </c>
      <c r="AI46" s="23" t="str">
        <f ca="1">IF(Message&lt;&gt;"",Message,+AK45*RealEstate!AB$115)</f>
        <v>EXPIRED</v>
      </c>
      <c r="AJ46" s="23" t="str">
        <f ca="1">IF(Message&lt;&gt;"",Message,+IF(AC46&gt;0,-AC46*RealEstate!AB$113,IF(AK45&lt;=0.1,0,IF(AA47=0,AK45,IF(AJ45&gt;0,SUM(AI45:AJ45)-AI46,AK45/100000*AB$116-AI46)))))</f>
        <v>EXPIRED</v>
      </c>
      <c r="AK46" s="44" t="str">
        <f ca="1">IF(Message&lt;&gt;"",Message,+IF(AC46&gt;0,AC46*RealEstate!AB$113,AK45-AJ46))</f>
        <v>EXPIRED</v>
      </c>
      <c r="AL46" s="20" t="str">
        <f t="shared" ca="1" si="30"/>
        <v>EXPIRED</v>
      </c>
      <c r="AM46" s="40"/>
    </row>
    <row r="47" spans="1:39" ht="14.45" x14ac:dyDescent="0.3">
      <c r="A47" s="14">
        <f t="shared" si="26"/>
        <v>42</v>
      </c>
      <c r="B47" s="14">
        <f t="shared" si="26"/>
        <v>82</v>
      </c>
      <c r="C47" s="38">
        <f t="shared" si="20"/>
        <v>2.2972444660248916</v>
      </c>
      <c r="E47" s="23">
        <f t="shared" ca="1" si="21"/>
        <v>0</v>
      </c>
      <c r="F47" s="20">
        <f t="shared" ca="1" si="12"/>
        <v>0</v>
      </c>
      <c r="G47" s="20">
        <f t="shared" ca="1" si="13"/>
        <v>0</v>
      </c>
      <c r="H47" s="23">
        <f t="shared" ca="1" si="22"/>
        <v>0</v>
      </c>
      <c r="I47" s="20">
        <f t="shared" ca="1" si="23"/>
        <v>0</v>
      </c>
      <c r="J47" s="20">
        <f t="shared" ca="1" si="24"/>
        <v>0</v>
      </c>
      <c r="K47" s="23">
        <f t="shared" ca="1" si="19"/>
        <v>0</v>
      </c>
      <c r="L47" s="23">
        <f t="shared" ca="1" si="25"/>
        <v>0</v>
      </c>
      <c r="M47" s="40"/>
      <c r="N47" s="20" t="str">
        <f ca="1">IF(Message&lt;&gt;"",Message,IF(OR($B47&gt;RealEstate!O$112,$B47&lt;RealEstate!O$111),0,RealEstate!O$109*(1+inflation+RealEstate!O$110)^$A47))</f>
        <v>EXPIRED</v>
      </c>
      <c r="O47" s="23" t="str">
        <f t="shared" ca="1" si="27"/>
        <v>EXPIRED</v>
      </c>
      <c r="P47" s="23" t="str">
        <f ca="1">IF(Message&lt;&gt;"",Message,IF($B47=RealEstate!O$111,N47*(1+$C$3),0)+IF(B47=RealEstate!O$112,-N47*(1-$C$2),0))</f>
        <v>EXPIRED</v>
      </c>
      <c r="Q47" s="53" t="str">
        <f ca="1">IF(Message&lt;&gt;"",Message,+IF(P47&lt;0,MAX(0,N47 - RealEstate!O$109*(1+RealEstate!O$110)^(MAX(age,RealEstate!O$111)-age)-Taxes!$B$11*$C47),0))</f>
        <v>EXPIRED</v>
      </c>
      <c r="R47" s="43" t="str">
        <f ca="1">IF(Message&lt;&gt;"",Message,IF(AND(P47&lt;=0,N47&gt;0),+N47*RealEstate!O$117,0))</f>
        <v>EXPIRED</v>
      </c>
      <c r="S47" s="23" t="str">
        <f ca="1">IF(Message&lt;&gt;"",Message,IF(AND(P47&lt;=0,N47&gt;0),+N47*RealEstate!O$118,0))</f>
        <v>EXPIRED</v>
      </c>
      <c r="T47" s="23" t="str">
        <f ca="1">IF(Message&lt;&gt;"",Message,IF(AND(P47&lt;=0,N47&gt;0),+RealEstate!O$119*$C47,0))</f>
        <v>EXPIRED</v>
      </c>
      <c r="U47" s="44" t="str">
        <f ca="1">IF(Message&lt;&gt;"",Message,IF(AND(P47&lt;=0,N47&gt;0),+RealEstate!O$120*$C47,0))</f>
        <v>EXPIRED</v>
      </c>
      <c r="V47" s="23" t="str">
        <f ca="1">IF(Message&lt;&gt;"",Message,+X46*RealEstate!O$115)</f>
        <v>EXPIRED</v>
      </c>
      <c r="W47" s="23" t="str">
        <f ca="1">IF(Message&lt;&gt;"",Message,+IF(P47&gt;0,-P47*RealEstate!O$113,IF(X46&lt;=0.1,0,IF(N48=0,X46,IF(W46&gt;0,SUM(V46:W46)-V47,X46/100000*O$116-V47)))))</f>
        <v>EXPIRED</v>
      </c>
      <c r="X47" s="44" t="str">
        <f ca="1">IF(Message&lt;&gt;"",Message,+IF(P47&gt;0,P47*RealEstate!O$113,X46-W47))</f>
        <v>EXPIRED</v>
      </c>
      <c r="Y47" s="20" t="str">
        <f t="shared" ca="1" si="28"/>
        <v>EXPIRED</v>
      </c>
      <c r="Z47" s="40"/>
      <c r="AA47" s="20" t="str">
        <f ca="1">IF(Message&lt;&gt;"",Message,IF(OR($B47&gt;RealEstate!AB$112,$B47&lt;RealEstate!AB$111),0,RealEstate!AB$109*(1+inflation+RealEstate!AB$110)^$A47))</f>
        <v>EXPIRED</v>
      </c>
      <c r="AB47" s="23" t="str">
        <f t="shared" ca="1" si="29"/>
        <v>EXPIRED</v>
      </c>
      <c r="AC47" s="23" t="str">
        <f ca="1">IF(Message&lt;&gt;"",Message,IF($B47=RealEstate!AB$111,AA47*(1+$C$3),0)+IF(O47=RealEstate!AB$112,-AA47*(1-$C$2),0))</f>
        <v>EXPIRED</v>
      </c>
      <c r="AD47" s="53" t="str">
        <f ca="1">IF(Message&lt;&gt;"",Message,+IF(AC47&lt;0,MAX(0,AA47 - RealEstate!AB$109*(1+RealEstate!AB$110)^(MAX(age,RealEstate!AB$111)-age)-Taxes!$B$11*$C47),0))</f>
        <v>EXPIRED</v>
      </c>
      <c r="AE47" s="43" t="str">
        <f ca="1">IF(Message&lt;&gt;"",Message,IF(AND(AC47&lt;=0,AA47&gt;0),+AA47*RealEstate!AB$117,0))</f>
        <v>EXPIRED</v>
      </c>
      <c r="AF47" s="23" t="str">
        <f ca="1">IF(Message&lt;&gt;"",Message,IF(AND(AC47&lt;=0,AA47&gt;0),+AA47*RealEstate!AB$118,0))</f>
        <v>EXPIRED</v>
      </c>
      <c r="AG47" s="23" t="str">
        <f ca="1">IF(Message&lt;&gt;"",Message,IF(AND(AC47&lt;=0,AA47&gt;0),+RealEstate!AB$119*$C47,0))</f>
        <v>EXPIRED</v>
      </c>
      <c r="AH47" s="44" t="str">
        <f ca="1">IF(Message&lt;&gt;"",Message,IF(AND(AC47&lt;=0,AA47&gt;0),+RealEstate!AB$120*$C47,0))</f>
        <v>EXPIRED</v>
      </c>
      <c r="AI47" s="23" t="str">
        <f ca="1">IF(Message&lt;&gt;"",Message,+AK46*RealEstate!AB$115)</f>
        <v>EXPIRED</v>
      </c>
      <c r="AJ47" s="23" t="str">
        <f ca="1">IF(Message&lt;&gt;"",Message,+IF(AC47&gt;0,-AC47*RealEstate!AB$113,IF(AK46&lt;=0.1,0,IF(AA48=0,AK46,IF(AJ46&gt;0,SUM(AI46:AJ46)-AI47,AK46/100000*AB$116-AI47)))))</f>
        <v>EXPIRED</v>
      </c>
      <c r="AK47" s="44" t="str">
        <f ca="1">IF(Message&lt;&gt;"",Message,+IF(AC47&gt;0,AC47*RealEstate!AB$113,AK46-AJ47))</f>
        <v>EXPIRED</v>
      </c>
      <c r="AL47" s="20" t="str">
        <f t="shared" ca="1" si="30"/>
        <v>EXPIRED</v>
      </c>
      <c r="AM47" s="40"/>
    </row>
    <row r="48" spans="1:39" ht="14.45" x14ac:dyDescent="0.3">
      <c r="A48" s="14">
        <f t="shared" si="26"/>
        <v>43</v>
      </c>
      <c r="B48" s="14">
        <f t="shared" si="26"/>
        <v>83</v>
      </c>
      <c r="C48" s="38">
        <f t="shared" si="20"/>
        <v>2.3431893553453893</v>
      </c>
      <c r="E48" s="23">
        <f t="shared" ca="1" si="21"/>
        <v>0</v>
      </c>
      <c r="F48" s="20">
        <f t="shared" ca="1" si="12"/>
        <v>0</v>
      </c>
      <c r="G48" s="20">
        <f t="shared" ca="1" si="13"/>
        <v>0</v>
      </c>
      <c r="H48" s="23">
        <f t="shared" ca="1" si="22"/>
        <v>0</v>
      </c>
      <c r="I48" s="20">
        <f t="shared" ca="1" si="23"/>
        <v>0</v>
      </c>
      <c r="J48" s="20">
        <f t="shared" ca="1" si="24"/>
        <v>0</v>
      </c>
      <c r="K48" s="23">
        <f t="shared" ca="1" si="19"/>
        <v>0</v>
      </c>
      <c r="L48" s="23">
        <f t="shared" ca="1" si="25"/>
        <v>0</v>
      </c>
      <c r="M48" s="40"/>
      <c r="N48" s="20" t="str">
        <f ca="1">IF(Message&lt;&gt;"",Message,IF(OR($B48&gt;RealEstate!O$112,$B48&lt;RealEstate!O$111),0,RealEstate!O$109*(1+inflation+RealEstate!O$110)^$A48))</f>
        <v>EXPIRED</v>
      </c>
      <c r="O48" s="23" t="str">
        <f t="shared" ca="1" si="27"/>
        <v>EXPIRED</v>
      </c>
      <c r="P48" s="23" t="str">
        <f ca="1">IF(Message&lt;&gt;"",Message,IF($B48=RealEstate!O$111,N48*(1+$C$3),0)+IF(B48=RealEstate!O$112,-N48*(1-$C$2),0))</f>
        <v>EXPIRED</v>
      </c>
      <c r="Q48" s="53" t="str">
        <f ca="1">IF(Message&lt;&gt;"",Message,+IF(P48&lt;0,MAX(0,N48 - RealEstate!O$109*(1+RealEstate!O$110)^(MAX(age,RealEstate!O$111)-age)-Taxes!$B$11*$C48),0))</f>
        <v>EXPIRED</v>
      </c>
      <c r="R48" s="43" t="str">
        <f ca="1">IF(Message&lt;&gt;"",Message,IF(AND(P48&lt;=0,N48&gt;0),+N48*RealEstate!O$117,0))</f>
        <v>EXPIRED</v>
      </c>
      <c r="S48" s="23" t="str">
        <f ca="1">IF(Message&lt;&gt;"",Message,IF(AND(P48&lt;=0,N48&gt;0),+N48*RealEstate!O$118,0))</f>
        <v>EXPIRED</v>
      </c>
      <c r="T48" s="23" t="str">
        <f ca="1">IF(Message&lt;&gt;"",Message,IF(AND(P48&lt;=0,N48&gt;0),+RealEstate!O$119*$C48,0))</f>
        <v>EXPIRED</v>
      </c>
      <c r="U48" s="44" t="str">
        <f ca="1">IF(Message&lt;&gt;"",Message,IF(AND(P48&lt;=0,N48&gt;0),+RealEstate!O$120*$C48,0))</f>
        <v>EXPIRED</v>
      </c>
      <c r="V48" s="23" t="str">
        <f ca="1">IF(Message&lt;&gt;"",Message,+X47*RealEstate!O$115)</f>
        <v>EXPIRED</v>
      </c>
      <c r="W48" s="23" t="str">
        <f ca="1">IF(Message&lt;&gt;"",Message,+IF(P48&gt;0,-P48*RealEstate!O$113,IF(X47&lt;=0.1,0,IF(N49=0,X47,IF(W47&gt;0,SUM(V47:W47)-V48,X47/100000*O$116-V48)))))</f>
        <v>EXPIRED</v>
      </c>
      <c r="X48" s="44" t="str">
        <f ca="1">IF(Message&lt;&gt;"",Message,+IF(P48&gt;0,P48*RealEstate!O$113,X47-W48))</f>
        <v>EXPIRED</v>
      </c>
      <c r="Y48" s="20" t="str">
        <f t="shared" ca="1" si="28"/>
        <v>EXPIRED</v>
      </c>
      <c r="Z48" s="40"/>
      <c r="AA48" s="20" t="str">
        <f ca="1">IF(Message&lt;&gt;"",Message,IF(OR($B48&gt;RealEstate!AB$112,$B48&lt;RealEstate!AB$111),0,RealEstate!AB$109*(1+inflation+RealEstate!AB$110)^$A48))</f>
        <v>EXPIRED</v>
      </c>
      <c r="AB48" s="23" t="str">
        <f t="shared" ca="1" si="29"/>
        <v>EXPIRED</v>
      </c>
      <c r="AC48" s="23" t="str">
        <f ca="1">IF(Message&lt;&gt;"",Message,IF($B48=RealEstate!AB$111,AA48*(1+$C$3),0)+IF(O48=RealEstate!AB$112,-AA48*(1-$C$2),0))</f>
        <v>EXPIRED</v>
      </c>
      <c r="AD48" s="53" t="str">
        <f ca="1">IF(Message&lt;&gt;"",Message,+IF(AC48&lt;0,MAX(0,AA48 - RealEstate!AB$109*(1+RealEstate!AB$110)^(MAX(age,RealEstate!AB$111)-age)-Taxes!$B$11*$C48),0))</f>
        <v>EXPIRED</v>
      </c>
      <c r="AE48" s="43" t="str">
        <f ca="1">IF(Message&lt;&gt;"",Message,IF(AND(AC48&lt;=0,AA48&gt;0),+AA48*RealEstate!AB$117,0))</f>
        <v>EXPIRED</v>
      </c>
      <c r="AF48" s="23" t="str">
        <f ca="1">IF(Message&lt;&gt;"",Message,IF(AND(AC48&lt;=0,AA48&gt;0),+AA48*RealEstate!AB$118,0))</f>
        <v>EXPIRED</v>
      </c>
      <c r="AG48" s="23" t="str">
        <f ca="1">IF(Message&lt;&gt;"",Message,IF(AND(AC48&lt;=0,AA48&gt;0),+RealEstate!AB$119*$C48,0))</f>
        <v>EXPIRED</v>
      </c>
      <c r="AH48" s="44" t="str">
        <f ca="1">IF(Message&lt;&gt;"",Message,IF(AND(AC48&lt;=0,AA48&gt;0),+RealEstate!AB$120*$C48,0))</f>
        <v>EXPIRED</v>
      </c>
      <c r="AI48" s="23" t="str">
        <f ca="1">IF(Message&lt;&gt;"",Message,+AK47*RealEstate!AB$115)</f>
        <v>EXPIRED</v>
      </c>
      <c r="AJ48" s="23" t="str">
        <f ca="1">IF(Message&lt;&gt;"",Message,+IF(AC48&gt;0,-AC48*RealEstate!AB$113,IF(AK47&lt;=0.1,0,IF(AA49=0,AK47,IF(AJ47&gt;0,SUM(AI47:AJ47)-AI48,AK47/100000*AB$116-AI48)))))</f>
        <v>EXPIRED</v>
      </c>
      <c r="AK48" s="44" t="str">
        <f ca="1">IF(Message&lt;&gt;"",Message,+IF(AC48&gt;0,AC48*RealEstate!AB$113,AK47-AJ48))</f>
        <v>EXPIRED</v>
      </c>
      <c r="AL48" s="20" t="str">
        <f t="shared" ca="1" si="30"/>
        <v>EXPIRED</v>
      </c>
      <c r="AM48" s="40"/>
    </row>
    <row r="49" spans="1:39" ht="14.45" x14ac:dyDescent="0.3">
      <c r="A49" s="14">
        <f t="shared" si="26"/>
        <v>44</v>
      </c>
      <c r="B49" s="14">
        <f t="shared" si="26"/>
        <v>84</v>
      </c>
      <c r="C49" s="38">
        <f t="shared" si="20"/>
        <v>2.3900531424522975</v>
      </c>
      <c r="E49" s="23">
        <f t="shared" ca="1" si="21"/>
        <v>0</v>
      </c>
      <c r="F49" s="20">
        <f t="shared" ca="1" si="12"/>
        <v>0</v>
      </c>
      <c r="G49" s="20">
        <f t="shared" ca="1" si="13"/>
        <v>0</v>
      </c>
      <c r="H49" s="23">
        <f t="shared" ca="1" si="22"/>
        <v>0</v>
      </c>
      <c r="I49" s="20">
        <f t="shared" ca="1" si="23"/>
        <v>0</v>
      </c>
      <c r="J49" s="20">
        <f t="shared" ca="1" si="24"/>
        <v>0</v>
      </c>
      <c r="K49" s="23">
        <f t="shared" ca="1" si="19"/>
        <v>0</v>
      </c>
      <c r="L49" s="23">
        <f t="shared" ca="1" si="25"/>
        <v>0</v>
      </c>
      <c r="M49" s="40"/>
      <c r="N49" s="20" t="str">
        <f ca="1">IF(Message&lt;&gt;"",Message,IF(OR($B49&gt;RealEstate!O$112,$B49&lt;RealEstate!O$111),0,RealEstate!O$109*(1+inflation+RealEstate!O$110)^$A49))</f>
        <v>EXPIRED</v>
      </c>
      <c r="O49" s="23" t="str">
        <f t="shared" ca="1" si="27"/>
        <v>EXPIRED</v>
      </c>
      <c r="P49" s="23" t="str">
        <f ca="1">IF(Message&lt;&gt;"",Message,IF($B49=RealEstate!O$111,N49*(1+$C$3),0)+IF(B49=RealEstate!O$112,-N49*(1-$C$2),0))</f>
        <v>EXPIRED</v>
      </c>
      <c r="Q49" s="53" t="str">
        <f ca="1">IF(Message&lt;&gt;"",Message,+IF(P49&lt;0,MAX(0,N49 - RealEstate!O$109*(1+RealEstate!O$110)^(MAX(age,RealEstate!O$111)-age)-Taxes!$B$11*$C49),0))</f>
        <v>EXPIRED</v>
      </c>
      <c r="R49" s="43" t="str">
        <f ca="1">IF(Message&lt;&gt;"",Message,IF(AND(P49&lt;=0,N49&gt;0),+N49*RealEstate!O$117,0))</f>
        <v>EXPIRED</v>
      </c>
      <c r="S49" s="23" t="str">
        <f ca="1">IF(Message&lt;&gt;"",Message,IF(AND(P49&lt;=0,N49&gt;0),+N49*RealEstate!O$118,0))</f>
        <v>EXPIRED</v>
      </c>
      <c r="T49" s="23" t="str">
        <f ca="1">IF(Message&lt;&gt;"",Message,IF(AND(P49&lt;=0,N49&gt;0),+RealEstate!O$119*$C49,0))</f>
        <v>EXPIRED</v>
      </c>
      <c r="U49" s="44" t="str">
        <f ca="1">IF(Message&lt;&gt;"",Message,IF(AND(P49&lt;=0,N49&gt;0),+RealEstate!O$120*$C49,0))</f>
        <v>EXPIRED</v>
      </c>
      <c r="V49" s="23" t="str">
        <f ca="1">IF(Message&lt;&gt;"",Message,+X48*RealEstate!O$115)</f>
        <v>EXPIRED</v>
      </c>
      <c r="W49" s="23" t="str">
        <f ca="1">IF(Message&lt;&gt;"",Message,+IF(P49&gt;0,-P49*RealEstate!O$113,IF(X48&lt;=0.1,0,IF(N50=0,X48,IF(W48&gt;0,SUM(V48:W48)-V49,X48/100000*O$116-V49)))))</f>
        <v>EXPIRED</v>
      </c>
      <c r="X49" s="44" t="str">
        <f ca="1">IF(Message&lt;&gt;"",Message,+IF(P49&gt;0,P49*RealEstate!O$113,X48-W49))</f>
        <v>EXPIRED</v>
      </c>
      <c r="Y49" s="20" t="str">
        <f t="shared" ca="1" si="28"/>
        <v>EXPIRED</v>
      </c>
      <c r="Z49" s="40"/>
      <c r="AA49" s="20" t="str">
        <f ca="1">IF(Message&lt;&gt;"",Message,IF(OR($B49&gt;RealEstate!AB$112,$B49&lt;RealEstate!AB$111),0,RealEstate!AB$109*(1+inflation+RealEstate!AB$110)^$A49))</f>
        <v>EXPIRED</v>
      </c>
      <c r="AB49" s="23" t="str">
        <f t="shared" ca="1" si="29"/>
        <v>EXPIRED</v>
      </c>
      <c r="AC49" s="23" t="str">
        <f ca="1">IF(Message&lt;&gt;"",Message,IF($B49=RealEstate!AB$111,AA49*(1+$C$3),0)+IF(O49=RealEstate!AB$112,-AA49*(1-$C$2),0))</f>
        <v>EXPIRED</v>
      </c>
      <c r="AD49" s="53" t="str">
        <f ca="1">IF(Message&lt;&gt;"",Message,+IF(AC49&lt;0,MAX(0,AA49 - RealEstate!AB$109*(1+RealEstate!AB$110)^(MAX(age,RealEstate!AB$111)-age)-Taxes!$B$11*$C49),0))</f>
        <v>EXPIRED</v>
      </c>
      <c r="AE49" s="43" t="str">
        <f ca="1">IF(Message&lt;&gt;"",Message,IF(AND(AC49&lt;=0,AA49&gt;0),+AA49*RealEstate!AB$117,0))</f>
        <v>EXPIRED</v>
      </c>
      <c r="AF49" s="23" t="str">
        <f ca="1">IF(Message&lt;&gt;"",Message,IF(AND(AC49&lt;=0,AA49&gt;0),+AA49*RealEstate!AB$118,0))</f>
        <v>EXPIRED</v>
      </c>
      <c r="AG49" s="23" t="str">
        <f ca="1">IF(Message&lt;&gt;"",Message,IF(AND(AC49&lt;=0,AA49&gt;0),+RealEstate!AB$119*$C49,0))</f>
        <v>EXPIRED</v>
      </c>
      <c r="AH49" s="44" t="str">
        <f ca="1">IF(Message&lt;&gt;"",Message,IF(AND(AC49&lt;=0,AA49&gt;0),+RealEstate!AB$120*$C49,0))</f>
        <v>EXPIRED</v>
      </c>
      <c r="AI49" s="23" t="str">
        <f ca="1">IF(Message&lt;&gt;"",Message,+AK48*RealEstate!AB$115)</f>
        <v>EXPIRED</v>
      </c>
      <c r="AJ49" s="23" t="str">
        <f ca="1">IF(Message&lt;&gt;"",Message,+IF(AC49&gt;0,-AC49*RealEstate!AB$113,IF(AK48&lt;=0.1,0,IF(AA50=0,AK48,IF(AJ48&gt;0,SUM(AI48:AJ48)-AI49,AK48/100000*AB$116-AI49)))))</f>
        <v>EXPIRED</v>
      </c>
      <c r="AK49" s="44" t="str">
        <f ca="1">IF(Message&lt;&gt;"",Message,+IF(AC49&gt;0,AC49*RealEstate!AB$113,AK48-AJ49))</f>
        <v>EXPIRED</v>
      </c>
      <c r="AL49" s="20" t="str">
        <f t="shared" ca="1" si="30"/>
        <v>EXPIRED</v>
      </c>
      <c r="AM49" s="40"/>
    </row>
    <row r="50" spans="1:39" ht="14.45" x14ac:dyDescent="0.3">
      <c r="A50" s="14">
        <f t="shared" si="26"/>
        <v>45</v>
      </c>
      <c r="B50" s="14">
        <f t="shared" si="26"/>
        <v>85</v>
      </c>
      <c r="C50" s="38">
        <f t="shared" si="20"/>
        <v>2.4378542053013432</v>
      </c>
      <c r="E50" s="23">
        <f t="shared" ca="1" si="21"/>
        <v>0</v>
      </c>
      <c r="F50" s="20">
        <f t="shared" ca="1" si="12"/>
        <v>0</v>
      </c>
      <c r="G50" s="20">
        <f t="shared" ca="1" si="13"/>
        <v>0</v>
      </c>
      <c r="H50" s="23">
        <f t="shared" ca="1" si="22"/>
        <v>0</v>
      </c>
      <c r="I50" s="20">
        <f t="shared" ca="1" si="23"/>
        <v>0</v>
      </c>
      <c r="J50" s="20">
        <f t="shared" ca="1" si="24"/>
        <v>0</v>
      </c>
      <c r="K50" s="23">
        <f t="shared" ca="1" si="19"/>
        <v>0</v>
      </c>
      <c r="L50" s="23">
        <f t="shared" ca="1" si="25"/>
        <v>0</v>
      </c>
      <c r="M50" s="40"/>
      <c r="N50" s="20" t="str">
        <f ca="1">IF(Message&lt;&gt;"",Message,IF(OR($B50&gt;RealEstate!O$112,$B50&lt;RealEstate!O$111),0,RealEstate!O$109*(1+inflation+RealEstate!O$110)^$A50))</f>
        <v>EXPIRED</v>
      </c>
      <c r="O50" s="23" t="str">
        <f t="shared" ca="1" si="27"/>
        <v>EXPIRED</v>
      </c>
      <c r="P50" s="23" t="str">
        <f ca="1">IF(Message&lt;&gt;"",Message,IF($B50=RealEstate!O$111,N50*(1+$C$3),0)+IF(B50=RealEstate!O$112,-N50*(1-$C$2),0))</f>
        <v>EXPIRED</v>
      </c>
      <c r="Q50" s="53" t="str">
        <f ca="1">IF(Message&lt;&gt;"",Message,+IF(P50&lt;0,MAX(0,N50 - RealEstate!O$109*(1+RealEstate!O$110)^(MAX(age,RealEstate!O$111)-age)-Taxes!$B$11*$C50),0))</f>
        <v>EXPIRED</v>
      </c>
      <c r="R50" s="43" t="str">
        <f ca="1">IF(Message&lt;&gt;"",Message,IF(AND(P50&lt;=0,N50&gt;0),+N50*RealEstate!O$117,0))</f>
        <v>EXPIRED</v>
      </c>
      <c r="S50" s="23" t="str">
        <f ca="1">IF(Message&lt;&gt;"",Message,IF(AND(P50&lt;=0,N50&gt;0),+N50*RealEstate!O$118,0))</f>
        <v>EXPIRED</v>
      </c>
      <c r="T50" s="23" t="str">
        <f ca="1">IF(Message&lt;&gt;"",Message,IF(AND(P50&lt;=0,N50&gt;0),+RealEstate!O$119*$C50,0))</f>
        <v>EXPIRED</v>
      </c>
      <c r="U50" s="44" t="str">
        <f ca="1">IF(Message&lt;&gt;"",Message,IF(AND(P50&lt;=0,N50&gt;0),+RealEstate!O$120*$C50,0))</f>
        <v>EXPIRED</v>
      </c>
      <c r="V50" s="23" t="str">
        <f ca="1">IF(Message&lt;&gt;"",Message,+X49*RealEstate!O$115)</f>
        <v>EXPIRED</v>
      </c>
      <c r="W50" s="23" t="str">
        <f ca="1">IF(Message&lt;&gt;"",Message,+IF(P50&gt;0,-P50*RealEstate!O$113,IF(X49&lt;=0.1,0,IF(N51=0,X49,IF(W49&gt;0,SUM(V49:W49)-V50,X49/100000*O$116-V50)))))</f>
        <v>EXPIRED</v>
      </c>
      <c r="X50" s="44" t="str">
        <f ca="1">IF(Message&lt;&gt;"",Message,+IF(P50&gt;0,P50*RealEstate!O$113,X49-W50))</f>
        <v>EXPIRED</v>
      </c>
      <c r="Y50" s="20" t="str">
        <f t="shared" ca="1" si="28"/>
        <v>EXPIRED</v>
      </c>
      <c r="Z50" s="40"/>
      <c r="AA50" s="20" t="str">
        <f ca="1">IF(Message&lt;&gt;"",Message,IF(OR($B50&gt;RealEstate!AB$112,$B50&lt;RealEstate!AB$111),0,RealEstate!AB$109*(1+inflation+RealEstate!AB$110)^$A50))</f>
        <v>EXPIRED</v>
      </c>
      <c r="AB50" s="23" t="str">
        <f t="shared" ca="1" si="29"/>
        <v>EXPIRED</v>
      </c>
      <c r="AC50" s="23" t="str">
        <f ca="1">IF(Message&lt;&gt;"",Message,IF($B50=RealEstate!AB$111,AA50*(1+$C$3),0)+IF(O50=RealEstate!AB$112,-AA50*(1-$C$2),0))</f>
        <v>EXPIRED</v>
      </c>
      <c r="AD50" s="53" t="str">
        <f ca="1">IF(Message&lt;&gt;"",Message,+IF(AC50&lt;0,MAX(0,AA50 - RealEstate!AB$109*(1+RealEstate!AB$110)^(MAX(age,RealEstate!AB$111)-age)-Taxes!$B$11*$C50),0))</f>
        <v>EXPIRED</v>
      </c>
      <c r="AE50" s="43" t="str">
        <f ca="1">IF(Message&lt;&gt;"",Message,IF(AND(AC50&lt;=0,AA50&gt;0),+AA50*RealEstate!AB$117,0))</f>
        <v>EXPIRED</v>
      </c>
      <c r="AF50" s="23" t="str">
        <f ca="1">IF(Message&lt;&gt;"",Message,IF(AND(AC50&lt;=0,AA50&gt;0),+AA50*RealEstate!AB$118,0))</f>
        <v>EXPIRED</v>
      </c>
      <c r="AG50" s="23" t="str">
        <f ca="1">IF(Message&lt;&gt;"",Message,IF(AND(AC50&lt;=0,AA50&gt;0),+RealEstate!AB$119*$C50,0))</f>
        <v>EXPIRED</v>
      </c>
      <c r="AH50" s="44" t="str">
        <f ca="1">IF(Message&lt;&gt;"",Message,IF(AND(AC50&lt;=0,AA50&gt;0),+RealEstate!AB$120*$C50,0))</f>
        <v>EXPIRED</v>
      </c>
      <c r="AI50" s="23" t="str">
        <f ca="1">IF(Message&lt;&gt;"",Message,+AK49*RealEstate!AB$115)</f>
        <v>EXPIRED</v>
      </c>
      <c r="AJ50" s="23" t="str">
        <f ca="1">IF(Message&lt;&gt;"",Message,+IF(AC50&gt;0,-AC50*RealEstate!AB$113,IF(AK49&lt;=0.1,0,IF(AA51=0,AK49,IF(AJ49&gt;0,SUM(AI49:AJ49)-AI50,AK49/100000*AB$116-AI50)))))</f>
        <v>EXPIRED</v>
      </c>
      <c r="AK50" s="44" t="str">
        <f ca="1">IF(Message&lt;&gt;"",Message,+IF(AC50&gt;0,AC50*RealEstate!AB$113,AK49-AJ50))</f>
        <v>EXPIRED</v>
      </c>
      <c r="AL50" s="20" t="str">
        <f t="shared" ca="1" si="30"/>
        <v>EXPIRED</v>
      </c>
      <c r="AM50" s="40"/>
    </row>
    <row r="51" spans="1:39" ht="14.45" x14ac:dyDescent="0.3">
      <c r="A51" s="14">
        <f t="shared" si="26"/>
        <v>46</v>
      </c>
      <c r="B51" s="14">
        <f t="shared" si="26"/>
        <v>86</v>
      </c>
      <c r="C51" s="38">
        <f t="shared" si="20"/>
        <v>2.4866112894073704</v>
      </c>
      <c r="E51" s="23">
        <f t="shared" ca="1" si="21"/>
        <v>0</v>
      </c>
      <c r="F51" s="20">
        <f t="shared" ca="1" si="12"/>
        <v>0</v>
      </c>
      <c r="G51" s="20">
        <f t="shared" ca="1" si="13"/>
        <v>0</v>
      </c>
      <c r="H51" s="23">
        <f t="shared" ca="1" si="22"/>
        <v>0</v>
      </c>
      <c r="I51" s="20">
        <f t="shared" ca="1" si="23"/>
        <v>0</v>
      </c>
      <c r="J51" s="20">
        <f t="shared" ca="1" si="24"/>
        <v>0</v>
      </c>
      <c r="K51" s="23">
        <f t="shared" ca="1" si="19"/>
        <v>0</v>
      </c>
      <c r="L51" s="23">
        <f t="shared" ca="1" si="25"/>
        <v>0</v>
      </c>
      <c r="M51" s="40"/>
      <c r="N51" s="20" t="str">
        <f ca="1">IF(Message&lt;&gt;"",Message,IF(OR($B51&gt;RealEstate!O$112,$B51&lt;RealEstate!O$111),0,RealEstate!O$109*(1+inflation+RealEstate!O$110)^$A51))</f>
        <v>EXPIRED</v>
      </c>
      <c r="O51" s="23" t="str">
        <f t="shared" ca="1" si="27"/>
        <v>EXPIRED</v>
      </c>
      <c r="P51" s="23" t="str">
        <f ca="1">IF(Message&lt;&gt;"",Message,IF($B51=RealEstate!O$111,N51*(1+$C$3),0)+IF(B51=RealEstate!O$112,-N51*(1-$C$2),0))</f>
        <v>EXPIRED</v>
      </c>
      <c r="Q51" s="53" t="str">
        <f ca="1">IF(Message&lt;&gt;"",Message,+IF(P51&lt;0,MAX(0,N51 - RealEstate!O$109*(1+RealEstate!O$110)^(MAX(age,RealEstate!O$111)-age)-Taxes!$B$11*$C51),0))</f>
        <v>EXPIRED</v>
      </c>
      <c r="R51" s="43" t="str">
        <f ca="1">IF(Message&lt;&gt;"",Message,IF(AND(P51&lt;=0,N51&gt;0),+N51*RealEstate!O$117,0))</f>
        <v>EXPIRED</v>
      </c>
      <c r="S51" s="23" t="str">
        <f ca="1">IF(Message&lt;&gt;"",Message,IF(AND(P51&lt;=0,N51&gt;0),+N51*RealEstate!O$118,0))</f>
        <v>EXPIRED</v>
      </c>
      <c r="T51" s="23" t="str">
        <f ca="1">IF(Message&lt;&gt;"",Message,IF(AND(P51&lt;=0,N51&gt;0),+RealEstate!O$119*$C51,0))</f>
        <v>EXPIRED</v>
      </c>
      <c r="U51" s="44" t="str">
        <f ca="1">IF(Message&lt;&gt;"",Message,IF(AND(P51&lt;=0,N51&gt;0),+RealEstate!O$120*$C51,0))</f>
        <v>EXPIRED</v>
      </c>
      <c r="V51" s="23" t="str">
        <f ca="1">IF(Message&lt;&gt;"",Message,+X50*RealEstate!O$115)</f>
        <v>EXPIRED</v>
      </c>
      <c r="W51" s="23" t="str">
        <f ca="1">IF(Message&lt;&gt;"",Message,+IF(P51&gt;0,-P51*RealEstate!O$113,IF(X50&lt;=0.1,0,IF(N52=0,X50,IF(W50&gt;0,SUM(V50:W50)-V51,X50/100000*O$116-V51)))))</f>
        <v>EXPIRED</v>
      </c>
      <c r="X51" s="44" t="str">
        <f ca="1">IF(Message&lt;&gt;"",Message,+IF(P51&gt;0,P51*RealEstate!O$113,X50-W51))</f>
        <v>EXPIRED</v>
      </c>
      <c r="Y51" s="20" t="str">
        <f t="shared" ca="1" si="28"/>
        <v>EXPIRED</v>
      </c>
      <c r="Z51" s="40"/>
      <c r="AA51" s="20" t="str">
        <f ca="1">IF(Message&lt;&gt;"",Message,IF(OR($B51&gt;RealEstate!AB$112,$B51&lt;RealEstate!AB$111),0,RealEstate!AB$109*(1+inflation+RealEstate!AB$110)^$A51))</f>
        <v>EXPIRED</v>
      </c>
      <c r="AB51" s="23" t="str">
        <f t="shared" ca="1" si="29"/>
        <v>EXPIRED</v>
      </c>
      <c r="AC51" s="23" t="str">
        <f ca="1">IF(Message&lt;&gt;"",Message,IF($B51=RealEstate!AB$111,AA51*(1+$C$3),0)+IF(O51=RealEstate!AB$112,-AA51*(1-$C$2),0))</f>
        <v>EXPIRED</v>
      </c>
      <c r="AD51" s="53" t="str">
        <f ca="1">IF(Message&lt;&gt;"",Message,+IF(AC51&lt;0,MAX(0,AA51 - RealEstate!AB$109*(1+RealEstate!AB$110)^(MAX(age,RealEstate!AB$111)-age)-Taxes!$B$11*$C51),0))</f>
        <v>EXPIRED</v>
      </c>
      <c r="AE51" s="43" t="str">
        <f ca="1">IF(Message&lt;&gt;"",Message,IF(AND(AC51&lt;=0,AA51&gt;0),+AA51*RealEstate!AB$117,0))</f>
        <v>EXPIRED</v>
      </c>
      <c r="AF51" s="23" t="str">
        <f ca="1">IF(Message&lt;&gt;"",Message,IF(AND(AC51&lt;=0,AA51&gt;0),+AA51*RealEstate!AB$118,0))</f>
        <v>EXPIRED</v>
      </c>
      <c r="AG51" s="23" t="str">
        <f ca="1">IF(Message&lt;&gt;"",Message,IF(AND(AC51&lt;=0,AA51&gt;0),+RealEstate!AB$119*$C51,0))</f>
        <v>EXPIRED</v>
      </c>
      <c r="AH51" s="44" t="str">
        <f ca="1">IF(Message&lt;&gt;"",Message,IF(AND(AC51&lt;=0,AA51&gt;0),+RealEstate!AB$120*$C51,0))</f>
        <v>EXPIRED</v>
      </c>
      <c r="AI51" s="23" t="str">
        <f ca="1">IF(Message&lt;&gt;"",Message,+AK50*RealEstate!AB$115)</f>
        <v>EXPIRED</v>
      </c>
      <c r="AJ51" s="23" t="str">
        <f ca="1">IF(Message&lt;&gt;"",Message,+IF(AC51&gt;0,-AC51*RealEstate!AB$113,IF(AK50&lt;=0.1,0,IF(AA52=0,AK50,IF(AJ50&gt;0,SUM(AI50:AJ50)-AI51,AK50/100000*AB$116-AI51)))))</f>
        <v>EXPIRED</v>
      </c>
      <c r="AK51" s="44" t="str">
        <f ca="1">IF(Message&lt;&gt;"",Message,+IF(AC51&gt;0,AC51*RealEstate!AB$113,AK50-AJ51))</f>
        <v>EXPIRED</v>
      </c>
      <c r="AL51" s="20" t="str">
        <f t="shared" ca="1" si="30"/>
        <v>EXPIRED</v>
      </c>
      <c r="AM51" s="40"/>
    </row>
    <row r="52" spans="1:39" ht="14.45" x14ac:dyDescent="0.3">
      <c r="A52" s="14">
        <f t="shared" si="26"/>
        <v>47</v>
      </c>
      <c r="B52" s="14">
        <f t="shared" si="26"/>
        <v>87</v>
      </c>
      <c r="C52" s="38">
        <f t="shared" si="20"/>
        <v>2.5363435151955169</v>
      </c>
      <c r="E52" s="23">
        <f t="shared" ca="1" si="21"/>
        <v>0</v>
      </c>
      <c r="F52" s="20">
        <f t="shared" ca="1" si="12"/>
        <v>0</v>
      </c>
      <c r="G52" s="20">
        <f t="shared" ca="1" si="13"/>
        <v>0</v>
      </c>
      <c r="H52" s="23">
        <f t="shared" ca="1" si="22"/>
        <v>0</v>
      </c>
      <c r="I52" s="20">
        <f t="shared" ca="1" si="23"/>
        <v>0</v>
      </c>
      <c r="J52" s="20">
        <f t="shared" ca="1" si="24"/>
        <v>0</v>
      </c>
      <c r="K52" s="23">
        <f t="shared" ca="1" si="19"/>
        <v>0</v>
      </c>
      <c r="L52" s="23">
        <f t="shared" ca="1" si="25"/>
        <v>0</v>
      </c>
      <c r="M52" s="40"/>
      <c r="N52" s="20" t="str">
        <f ca="1">IF(Message&lt;&gt;"",Message,IF(OR($B52&gt;RealEstate!O$112,$B52&lt;RealEstate!O$111),0,RealEstate!O$109*(1+inflation+RealEstate!O$110)^$A52))</f>
        <v>EXPIRED</v>
      </c>
      <c r="O52" s="23" t="str">
        <f t="shared" ca="1" si="27"/>
        <v>EXPIRED</v>
      </c>
      <c r="P52" s="23" t="str">
        <f ca="1">IF(Message&lt;&gt;"",Message,IF($B52=RealEstate!O$111,N52*(1+$C$3),0)+IF(B52=RealEstate!O$112,-N52*(1-$C$2),0))</f>
        <v>EXPIRED</v>
      </c>
      <c r="Q52" s="53" t="str">
        <f ca="1">IF(Message&lt;&gt;"",Message,+IF(P52&lt;0,MAX(0,N52 - RealEstate!O$109*(1+RealEstate!O$110)^(MAX(age,RealEstate!O$111)-age)-Taxes!$B$11*$C52),0))</f>
        <v>EXPIRED</v>
      </c>
      <c r="R52" s="43" t="str">
        <f ca="1">IF(Message&lt;&gt;"",Message,IF(AND(P52&lt;=0,N52&gt;0),+N52*RealEstate!O$117,0))</f>
        <v>EXPIRED</v>
      </c>
      <c r="S52" s="23" t="str">
        <f ca="1">IF(Message&lt;&gt;"",Message,IF(AND(P52&lt;=0,N52&gt;0),+N52*RealEstate!O$118,0))</f>
        <v>EXPIRED</v>
      </c>
      <c r="T52" s="23" t="str">
        <f ca="1">IF(Message&lt;&gt;"",Message,IF(AND(P52&lt;=0,N52&gt;0),+RealEstate!O$119*$C52,0))</f>
        <v>EXPIRED</v>
      </c>
      <c r="U52" s="44" t="str">
        <f ca="1">IF(Message&lt;&gt;"",Message,IF(AND(P52&lt;=0,N52&gt;0),+RealEstate!O$120*$C52,0))</f>
        <v>EXPIRED</v>
      </c>
      <c r="V52" s="23" t="str">
        <f ca="1">IF(Message&lt;&gt;"",Message,+X51*RealEstate!O$115)</f>
        <v>EXPIRED</v>
      </c>
      <c r="W52" s="23" t="str">
        <f ca="1">IF(Message&lt;&gt;"",Message,+IF(P52&gt;0,-P52*RealEstate!O$113,IF(X51&lt;=0.1,0,IF(N53=0,X51,IF(W51&gt;0,SUM(V51:W51)-V52,X51/100000*O$116-V52)))))</f>
        <v>EXPIRED</v>
      </c>
      <c r="X52" s="44" t="str">
        <f ca="1">IF(Message&lt;&gt;"",Message,+IF(P52&gt;0,P52*RealEstate!O$113,X51-W52))</f>
        <v>EXPIRED</v>
      </c>
      <c r="Y52" s="20" t="str">
        <f t="shared" ca="1" si="28"/>
        <v>EXPIRED</v>
      </c>
      <c r="Z52" s="40"/>
      <c r="AA52" s="20" t="str">
        <f ca="1">IF(Message&lt;&gt;"",Message,IF(OR($B52&gt;RealEstate!AB$112,$B52&lt;RealEstate!AB$111),0,RealEstate!AB$109*(1+inflation+RealEstate!AB$110)^$A52))</f>
        <v>EXPIRED</v>
      </c>
      <c r="AB52" s="23" t="str">
        <f t="shared" ca="1" si="29"/>
        <v>EXPIRED</v>
      </c>
      <c r="AC52" s="23" t="str">
        <f ca="1">IF(Message&lt;&gt;"",Message,IF($B52=RealEstate!AB$111,AA52*(1+$C$3),0)+IF(O52=RealEstate!AB$112,-AA52*(1-$C$2),0))</f>
        <v>EXPIRED</v>
      </c>
      <c r="AD52" s="53" t="str">
        <f ca="1">IF(Message&lt;&gt;"",Message,+IF(AC52&lt;0,MAX(0,AA52 - RealEstate!AB$109*(1+RealEstate!AB$110)^(MAX(age,RealEstate!AB$111)-age)-Taxes!$B$11*$C52),0))</f>
        <v>EXPIRED</v>
      </c>
      <c r="AE52" s="43" t="str">
        <f ca="1">IF(Message&lt;&gt;"",Message,IF(AND(AC52&lt;=0,AA52&gt;0),+AA52*RealEstate!AB$117,0))</f>
        <v>EXPIRED</v>
      </c>
      <c r="AF52" s="23" t="str">
        <f ca="1">IF(Message&lt;&gt;"",Message,IF(AND(AC52&lt;=0,AA52&gt;0),+AA52*RealEstate!AB$118,0))</f>
        <v>EXPIRED</v>
      </c>
      <c r="AG52" s="23" t="str">
        <f ca="1">IF(Message&lt;&gt;"",Message,IF(AND(AC52&lt;=0,AA52&gt;0),+RealEstate!AB$119*$C52,0))</f>
        <v>EXPIRED</v>
      </c>
      <c r="AH52" s="44" t="str">
        <f ca="1">IF(Message&lt;&gt;"",Message,IF(AND(AC52&lt;=0,AA52&gt;0),+RealEstate!AB$120*$C52,0))</f>
        <v>EXPIRED</v>
      </c>
      <c r="AI52" s="23" t="str">
        <f ca="1">IF(Message&lt;&gt;"",Message,+AK51*RealEstate!AB$115)</f>
        <v>EXPIRED</v>
      </c>
      <c r="AJ52" s="23" t="str">
        <f ca="1">IF(Message&lt;&gt;"",Message,+IF(AC52&gt;0,-AC52*RealEstate!AB$113,IF(AK51&lt;=0.1,0,IF(AA53=0,AK51,IF(AJ51&gt;0,SUM(AI51:AJ51)-AI52,AK51/100000*AB$116-AI52)))))</f>
        <v>EXPIRED</v>
      </c>
      <c r="AK52" s="44" t="str">
        <f ca="1">IF(Message&lt;&gt;"",Message,+IF(AC52&gt;0,AC52*RealEstate!AB$113,AK51-AJ52))</f>
        <v>EXPIRED</v>
      </c>
      <c r="AL52" s="20" t="str">
        <f t="shared" ca="1" si="30"/>
        <v>EXPIRED</v>
      </c>
      <c r="AM52" s="40"/>
    </row>
    <row r="53" spans="1:39" ht="14.45" x14ac:dyDescent="0.3">
      <c r="A53" s="14">
        <f t="shared" si="26"/>
        <v>48</v>
      </c>
      <c r="B53" s="14">
        <f t="shared" si="26"/>
        <v>88</v>
      </c>
      <c r="C53" s="38">
        <f t="shared" si="20"/>
        <v>2.5870703854994277</v>
      </c>
      <c r="E53" s="23">
        <f t="shared" ca="1" si="21"/>
        <v>0</v>
      </c>
      <c r="F53" s="20">
        <f t="shared" ca="1" si="12"/>
        <v>0</v>
      </c>
      <c r="G53" s="20">
        <f t="shared" ca="1" si="13"/>
        <v>0</v>
      </c>
      <c r="H53" s="23">
        <f t="shared" ca="1" si="22"/>
        <v>0</v>
      </c>
      <c r="I53" s="20">
        <f t="shared" ca="1" si="23"/>
        <v>0</v>
      </c>
      <c r="J53" s="20">
        <f t="shared" ca="1" si="24"/>
        <v>0</v>
      </c>
      <c r="K53" s="23">
        <f t="shared" ca="1" si="19"/>
        <v>0</v>
      </c>
      <c r="L53" s="23">
        <f t="shared" ca="1" si="25"/>
        <v>0</v>
      </c>
      <c r="M53" s="40"/>
      <c r="N53" s="20" t="str">
        <f ca="1">IF(Message&lt;&gt;"",Message,IF(OR($B53&gt;RealEstate!O$112,$B53&lt;RealEstate!O$111),0,RealEstate!O$109*(1+inflation+RealEstate!O$110)^$A53))</f>
        <v>EXPIRED</v>
      </c>
      <c r="O53" s="23" t="str">
        <f t="shared" ca="1" si="27"/>
        <v>EXPIRED</v>
      </c>
      <c r="P53" s="23" t="str">
        <f ca="1">IF(Message&lt;&gt;"",Message,IF($B53=RealEstate!O$111,N53*(1+$C$3),0)+IF(B53=RealEstate!O$112,-N53*(1-$C$2),0))</f>
        <v>EXPIRED</v>
      </c>
      <c r="Q53" s="53" t="str">
        <f ca="1">IF(Message&lt;&gt;"",Message,+IF(P53&lt;0,MAX(0,N53 - RealEstate!O$109*(1+RealEstate!O$110)^(MAX(age,RealEstate!O$111)-age)-Taxes!$B$11*$C53),0))</f>
        <v>EXPIRED</v>
      </c>
      <c r="R53" s="43" t="str">
        <f ca="1">IF(Message&lt;&gt;"",Message,IF(AND(P53&lt;=0,N53&gt;0),+N53*RealEstate!O$117,0))</f>
        <v>EXPIRED</v>
      </c>
      <c r="S53" s="23" t="str">
        <f ca="1">IF(Message&lt;&gt;"",Message,IF(AND(P53&lt;=0,N53&gt;0),+N53*RealEstate!O$118,0))</f>
        <v>EXPIRED</v>
      </c>
      <c r="T53" s="23" t="str">
        <f ca="1">IF(Message&lt;&gt;"",Message,IF(AND(P53&lt;=0,N53&gt;0),+RealEstate!O$119*$C53,0))</f>
        <v>EXPIRED</v>
      </c>
      <c r="U53" s="44" t="str">
        <f ca="1">IF(Message&lt;&gt;"",Message,IF(AND(P53&lt;=0,N53&gt;0),+RealEstate!O$120*$C53,0))</f>
        <v>EXPIRED</v>
      </c>
      <c r="V53" s="23" t="str">
        <f ca="1">IF(Message&lt;&gt;"",Message,+X52*RealEstate!O$115)</f>
        <v>EXPIRED</v>
      </c>
      <c r="W53" s="23" t="str">
        <f ca="1">IF(Message&lt;&gt;"",Message,+IF(P53&gt;0,-P53*RealEstate!O$113,IF(X52&lt;=0.1,0,IF(N54=0,X52,IF(W52&gt;0,SUM(V52:W52)-V53,X52/100000*O$116-V53)))))</f>
        <v>EXPIRED</v>
      </c>
      <c r="X53" s="44" t="str">
        <f ca="1">IF(Message&lt;&gt;"",Message,+IF(P53&gt;0,P53*RealEstate!O$113,X52-W53))</f>
        <v>EXPIRED</v>
      </c>
      <c r="Y53" s="20" t="str">
        <f t="shared" ca="1" si="28"/>
        <v>EXPIRED</v>
      </c>
      <c r="Z53" s="40"/>
      <c r="AA53" s="20" t="str">
        <f ca="1">IF(Message&lt;&gt;"",Message,IF(OR($B53&gt;RealEstate!AB$112,$B53&lt;RealEstate!AB$111),0,RealEstate!AB$109*(1+inflation+RealEstate!AB$110)^$A53))</f>
        <v>EXPIRED</v>
      </c>
      <c r="AB53" s="23" t="str">
        <f t="shared" ca="1" si="29"/>
        <v>EXPIRED</v>
      </c>
      <c r="AC53" s="23" t="str">
        <f ca="1">IF(Message&lt;&gt;"",Message,IF($B53=RealEstate!AB$111,AA53*(1+$C$3),0)+IF(O53=RealEstate!AB$112,-AA53*(1-$C$2),0))</f>
        <v>EXPIRED</v>
      </c>
      <c r="AD53" s="53" t="str">
        <f ca="1">IF(Message&lt;&gt;"",Message,+IF(AC53&lt;0,MAX(0,AA53 - RealEstate!AB$109*(1+RealEstate!AB$110)^(MAX(age,RealEstate!AB$111)-age)-Taxes!$B$11*$C53),0))</f>
        <v>EXPIRED</v>
      </c>
      <c r="AE53" s="43" t="str">
        <f ca="1">IF(Message&lt;&gt;"",Message,IF(AND(AC53&lt;=0,AA53&gt;0),+AA53*RealEstate!AB$117,0))</f>
        <v>EXPIRED</v>
      </c>
      <c r="AF53" s="23" t="str">
        <f ca="1">IF(Message&lt;&gt;"",Message,IF(AND(AC53&lt;=0,AA53&gt;0),+AA53*RealEstate!AB$118,0))</f>
        <v>EXPIRED</v>
      </c>
      <c r="AG53" s="23" t="str">
        <f ca="1">IF(Message&lt;&gt;"",Message,IF(AND(AC53&lt;=0,AA53&gt;0),+RealEstate!AB$119*$C53,0))</f>
        <v>EXPIRED</v>
      </c>
      <c r="AH53" s="44" t="str">
        <f ca="1">IF(Message&lt;&gt;"",Message,IF(AND(AC53&lt;=0,AA53&gt;0),+RealEstate!AB$120*$C53,0))</f>
        <v>EXPIRED</v>
      </c>
      <c r="AI53" s="23" t="str">
        <f ca="1">IF(Message&lt;&gt;"",Message,+AK52*RealEstate!AB$115)</f>
        <v>EXPIRED</v>
      </c>
      <c r="AJ53" s="23" t="str">
        <f ca="1">IF(Message&lt;&gt;"",Message,+IF(AC53&gt;0,-AC53*RealEstate!AB$113,IF(AK52&lt;=0.1,0,IF(AA54=0,AK52,IF(AJ52&gt;0,SUM(AI52:AJ52)-AI53,AK52/100000*AB$116-AI53)))))</f>
        <v>EXPIRED</v>
      </c>
      <c r="AK53" s="44" t="str">
        <f ca="1">IF(Message&lt;&gt;"",Message,+IF(AC53&gt;0,AC53*RealEstate!AB$113,AK52-AJ53))</f>
        <v>EXPIRED</v>
      </c>
      <c r="AL53" s="20" t="str">
        <f t="shared" ca="1" si="30"/>
        <v>EXPIRED</v>
      </c>
      <c r="AM53" s="40"/>
    </row>
    <row r="54" spans="1:39" ht="14.45" x14ac:dyDescent="0.3">
      <c r="A54" s="14">
        <f t="shared" si="26"/>
        <v>49</v>
      </c>
      <c r="B54" s="14">
        <f t="shared" si="26"/>
        <v>89</v>
      </c>
      <c r="C54" s="38">
        <f t="shared" si="20"/>
        <v>2.6388117932094164</v>
      </c>
      <c r="E54" s="23">
        <f t="shared" ca="1" si="21"/>
        <v>0</v>
      </c>
      <c r="F54" s="20">
        <f t="shared" ca="1" si="12"/>
        <v>0</v>
      </c>
      <c r="G54" s="20">
        <f t="shared" ca="1" si="13"/>
        <v>0</v>
      </c>
      <c r="H54" s="23">
        <f t="shared" ca="1" si="22"/>
        <v>0</v>
      </c>
      <c r="I54" s="20">
        <f t="shared" ca="1" si="23"/>
        <v>0</v>
      </c>
      <c r="J54" s="20">
        <f t="shared" ca="1" si="24"/>
        <v>0</v>
      </c>
      <c r="K54" s="23">
        <f t="shared" ca="1" si="19"/>
        <v>0</v>
      </c>
      <c r="L54" s="23">
        <f t="shared" ca="1" si="25"/>
        <v>0</v>
      </c>
      <c r="M54" s="40"/>
      <c r="N54" s="20" t="str">
        <f ca="1">IF(Message&lt;&gt;"",Message,IF(OR($B54&gt;RealEstate!O$112,$B54&lt;RealEstate!O$111),0,RealEstate!O$109*(1+inflation+RealEstate!O$110)^$A54))</f>
        <v>EXPIRED</v>
      </c>
      <c r="O54" s="23" t="str">
        <f t="shared" ca="1" si="27"/>
        <v>EXPIRED</v>
      </c>
      <c r="P54" s="23" t="str">
        <f ca="1">IF(Message&lt;&gt;"",Message,IF($B54=RealEstate!O$111,N54*(1+$C$3),0)+IF(B54=RealEstate!O$112,-N54*(1-$C$2),0))</f>
        <v>EXPIRED</v>
      </c>
      <c r="Q54" s="53" t="str">
        <f ca="1">IF(Message&lt;&gt;"",Message,+IF(P54&lt;0,MAX(0,N54 - RealEstate!O$109*(1+RealEstate!O$110)^(MAX(age,RealEstate!O$111)-age)-Taxes!$B$11*$C54),0))</f>
        <v>EXPIRED</v>
      </c>
      <c r="R54" s="43" t="str">
        <f ca="1">IF(Message&lt;&gt;"",Message,IF(AND(P54&lt;=0,N54&gt;0),+N54*RealEstate!O$117,0))</f>
        <v>EXPIRED</v>
      </c>
      <c r="S54" s="23" t="str">
        <f ca="1">IF(Message&lt;&gt;"",Message,IF(AND(P54&lt;=0,N54&gt;0),+N54*RealEstate!O$118,0))</f>
        <v>EXPIRED</v>
      </c>
      <c r="T54" s="23" t="str">
        <f ca="1">IF(Message&lt;&gt;"",Message,IF(AND(P54&lt;=0,N54&gt;0),+RealEstate!O$119*$C54,0))</f>
        <v>EXPIRED</v>
      </c>
      <c r="U54" s="44" t="str">
        <f ca="1">IF(Message&lt;&gt;"",Message,IF(AND(P54&lt;=0,N54&gt;0),+RealEstate!O$120*$C54,0))</f>
        <v>EXPIRED</v>
      </c>
      <c r="V54" s="23" t="str">
        <f ca="1">IF(Message&lt;&gt;"",Message,+X53*RealEstate!O$115)</f>
        <v>EXPIRED</v>
      </c>
      <c r="W54" s="23" t="str">
        <f ca="1">IF(Message&lt;&gt;"",Message,+IF(P54&gt;0,-P54*RealEstate!O$113,IF(X53&lt;=0.1,0,IF(N55=0,X53,IF(W53&gt;0,SUM(V53:W53)-V54,X53/100000*O$116-V54)))))</f>
        <v>EXPIRED</v>
      </c>
      <c r="X54" s="44" t="str">
        <f ca="1">IF(Message&lt;&gt;"",Message,+IF(P54&gt;0,P54*RealEstate!O$113,X53-W54))</f>
        <v>EXPIRED</v>
      </c>
      <c r="Y54" s="20" t="str">
        <f t="shared" ca="1" si="28"/>
        <v>EXPIRED</v>
      </c>
      <c r="Z54" s="40"/>
      <c r="AA54" s="20" t="str">
        <f ca="1">IF(Message&lt;&gt;"",Message,IF(OR($B54&gt;RealEstate!AB$112,$B54&lt;RealEstate!AB$111),0,RealEstate!AB$109*(1+inflation+RealEstate!AB$110)^$A54))</f>
        <v>EXPIRED</v>
      </c>
      <c r="AB54" s="23" t="str">
        <f t="shared" ca="1" si="29"/>
        <v>EXPIRED</v>
      </c>
      <c r="AC54" s="23" t="str">
        <f ca="1">IF(Message&lt;&gt;"",Message,IF($B54=RealEstate!AB$111,AA54*(1+$C$3),0)+IF(O54=RealEstate!AB$112,-AA54*(1-$C$2),0))</f>
        <v>EXPIRED</v>
      </c>
      <c r="AD54" s="53" t="str">
        <f ca="1">IF(Message&lt;&gt;"",Message,+IF(AC54&lt;0,MAX(0,AA54 - RealEstate!AB$109*(1+RealEstate!AB$110)^(MAX(age,RealEstate!AB$111)-age)-Taxes!$B$11*$C54),0))</f>
        <v>EXPIRED</v>
      </c>
      <c r="AE54" s="43" t="str">
        <f ca="1">IF(Message&lt;&gt;"",Message,IF(AND(AC54&lt;=0,AA54&gt;0),+AA54*RealEstate!AB$117,0))</f>
        <v>EXPIRED</v>
      </c>
      <c r="AF54" s="23" t="str">
        <f ca="1">IF(Message&lt;&gt;"",Message,IF(AND(AC54&lt;=0,AA54&gt;0),+AA54*RealEstate!AB$118,0))</f>
        <v>EXPIRED</v>
      </c>
      <c r="AG54" s="23" t="str">
        <f ca="1">IF(Message&lt;&gt;"",Message,IF(AND(AC54&lt;=0,AA54&gt;0),+RealEstate!AB$119*$C54,0))</f>
        <v>EXPIRED</v>
      </c>
      <c r="AH54" s="44" t="str">
        <f ca="1">IF(Message&lt;&gt;"",Message,IF(AND(AC54&lt;=0,AA54&gt;0),+RealEstate!AB$120*$C54,0))</f>
        <v>EXPIRED</v>
      </c>
      <c r="AI54" s="23" t="str">
        <f ca="1">IF(Message&lt;&gt;"",Message,+AK53*RealEstate!AB$115)</f>
        <v>EXPIRED</v>
      </c>
      <c r="AJ54" s="23" t="str">
        <f ca="1">IF(Message&lt;&gt;"",Message,+IF(AC54&gt;0,-AC54*RealEstate!AB$113,IF(AK53&lt;=0.1,0,IF(AA55=0,AK53,IF(AJ53&gt;0,SUM(AI53:AJ53)-AI54,AK53/100000*AB$116-AI54)))))</f>
        <v>EXPIRED</v>
      </c>
      <c r="AK54" s="44" t="str">
        <f ca="1">IF(Message&lt;&gt;"",Message,+IF(AC54&gt;0,AC54*RealEstate!AB$113,AK53-AJ54))</f>
        <v>EXPIRED</v>
      </c>
      <c r="AL54" s="20" t="str">
        <f t="shared" ca="1" si="30"/>
        <v>EXPIRED</v>
      </c>
      <c r="AM54" s="40"/>
    </row>
    <row r="55" spans="1:39" ht="14.45" x14ac:dyDescent="0.3">
      <c r="A55" s="14">
        <f t="shared" ref="A55:B70" si="31">+A54+1</f>
        <v>50</v>
      </c>
      <c r="B55" s="14">
        <f t="shared" si="31"/>
        <v>90</v>
      </c>
      <c r="C55" s="38">
        <f t="shared" si="20"/>
        <v>2.6915880290736047</v>
      </c>
      <c r="E55" s="23">
        <f t="shared" ca="1" si="21"/>
        <v>0</v>
      </c>
      <c r="F55" s="20">
        <f t="shared" ca="1" si="12"/>
        <v>0</v>
      </c>
      <c r="G55" s="20">
        <f t="shared" ca="1" si="13"/>
        <v>0</v>
      </c>
      <c r="H55" s="23">
        <f t="shared" ca="1" si="22"/>
        <v>0</v>
      </c>
      <c r="I55" s="20">
        <f t="shared" ca="1" si="23"/>
        <v>0</v>
      </c>
      <c r="J55" s="20">
        <f t="shared" ca="1" si="24"/>
        <v>0</v>
      </c>
      <c r="K55" s="23">
        <f t="shared" ca="1" si="19"/>
        <v>0</v>
      </c>
      <c r="L55" s="23">
        <f t="shared" ca="1" si="25"/>
        <v>0</v>
      </c>
      <c r="M55" s="40"/>
      <c r="N55" s="20" t="str">
        <f ca="1">IF(Message&lt;&gt;"",Message,IF(OR($B55&gt;RealEstate!O$112,$B55&lt;RealEstate!O$111),0,RealEstate!O$109*(1+inflation+RealEstate!O$110)^$A55))</f>
        <v>EXPIRED</v>
      </c>
      <c r="O55" s="23" t="str">
        <f t="shared" ca="1" si="27"/>
        <v>EXPIRED</v>
      </c>
      <c r="P55" s="23" t="str">
        <f ca="1">IF(Message&lt;&gt;"",Message,IF($B55=RealEstate!O$111,N55*(1+$C$3),0)+IF(B55=RealEstate!O$112,-N55*(1-$C$2),0))</f>
        <v>EXPIRED</v>
      </c>
      <c r="Q55" s="53" t="str">
        <f ca="1">IF(Message&lt;&gt;"",Message,+IF(P55&lt;0,MAX(0,N55 - RealEstate!O$109*(1+RealEstate!O$110)^(MAX(age,RealEstate!O$111)-age)-Taxes!$B$11*$C55),0))</f>
        <v>EXPIRED</v>
      </c>
      <c r="R55" s="43" t="str">
        <f ca="1">IF(Message&lt;&gt;"",Message,IF(AND(P55&lt;=0,N55&gt;0),+N55*RealEstate!O$117,0))</f>
        <v>EXPIRED</v>
      </c>
      <c r="S55" s="23" t="str">
        <f ca="1">IF(Message&lt;&gt;"",Message,IF(AND(P55&lt;=0,N55&gt;0),+N55*RealEstate!O$118,0))</f>
        <v>EXPIRED</v>
      </c>
      <c r="T55" s="23" t="str">
        <f ca="1">IF(Message&lt;&gt;"",Message,IF(AND(P55&lt;=0,N55&gt;0),+RealEstate!O$119*$C55,0))</f>
        <v>EXPIRED</v>
      </c>
      <c r="U55" s="44" t="str">
        <f ca="1">IF(Message&lt;&gt;"",Message,IF(AND(P55&lt;=0,N55&gt;0),+RealEstate!O$120*$C55,0))</f>
        <v>EXPIRED</v>
      </c>
      <c r="V55" s="23" t="str">
        <f ca="1">IF(Message&lt;&gt;"",Message,+X54*RealEstate!O$115)</f>
        <v>EXPIRED</v>
      </c>
      <c r="W55" s="23" t="str">
        <f ca="1">IF(Message&lt;&gt;"",Message,+IF(P55&gt;0,-P55*RealEstate!O$113,IF(X54&lt;=0.1,0,IF(N56=0,X54,IF(W54&gt;0,SUM(V54:W54)-V55,X54/100000*O$116-V55)))))</f>
        <v>EXPIRED</v>
      </c>
      <c r="X55" s="44" t="str">
        <f ca="1">IF(Message&lt;&gt;"",Message,+IF(P55&gt;0,P55*RealEstate!O$113,X54-W55))</f>
        <v>EXPIRED</v>
      </c>
      <c r="Y55" s="20" t="str">
        <f t="shared" ca="1" si="28"/>
        <v>EXPIRED</v>
      </c>
      <c r="Z55" s="40"/>
      <c r="AA55" s="20" t="str">
        <f ca="1">IF(Message&lt;&gt;"",Message,IF(OR($B55&gt;RealEstate!AB$112,$B55&lt;RealEstate!AB$111),0,RealEstate!AB$109*(1+inflation+RealEstate!AB$110)^$A55))</f>
        <v>EXPIRED</v>
      </c>
      <c r="AB55" s="23" t="str">
        <f t="shared" ca="1" si="29"/>
        <v>EXPIRED</v>
      </c>
      <c r="AC55" s="23" t="str">
        <f ca="1">IF(Message&lt;&gt;"",Message,IF($B55=RealEstate!AB$111,AA55*(1+$C$3),0)+IF(O55=RealEstate!AB$112,-AA55*(1-$C$2),0))</f>
        <v>EXPIRED</v>
      </c>
      <c r="AD55" s="53" t="str">
        <f ca="1">IF(Message&lt;&gt;"",Message,+IF(AC55&lt;0,MAX(0,AA55 - RealEstate!AB$109*(1+RealEstate!AB$110)^(MAX(age,RealEstate!AB$111)-age)-Taxes!$B$11*$C55),0))</f>
        <v>EXPIRED</v>
      </c>
      <c r="AE55" s="43" t="str">
        <f ca="1">IF(Message&lt;&gt;"",Message,IF(AND(AC55&lt;=0,AA55&gt;0),+AA55*RealEstate!AB$117,0))</f>
        <v>EXPIRED</v>
      </c>
      <c r="AF55" s="23" t="str">
        <f ca="1">IF(Message&lt;&gt;"",Message,IF(AND(AC55&lt;=0,AA55&gt;0),+AA55*RealEstate!AB$118,0))</f>
        <v>EXPIRED</v>
      </c>
      <c r="AG55" s="23" t="str">
        <f ca="1">IF(Message&lt;&gt;"",Message,IF(AND(AC55&lt;=0,AA55&gt;0),+RealEstate!AB$119*$C55,0))</f>
        <v>EXPIRED</v>
      </c>
      <c r="AH55" s="44" t="str">
        <f ca="1">IF(Message&lt;&gt;"",Message,IF(AND(AC55&lt;=0,AA55&gt;0),+RealEstate!AB$120*$C55,0))</f>
        <v>EXPIRED</v>
      </c>
      <c r="AI55" s="23" t="str">
        <f ca="1">IF(Message&lt;&gt;"",Message,+AK54*RealEstate!AB$115)</f>
        <v>EXPIRED</v>
      </c>
      <c r="AJ55" s="23" t="str">
        <f ca="1">IF(Message&lt;&gt;"",Message,+IF(AC55&gt;0,-AC55*RealEstate!AB$113,IF(AK54&lt;=0.1,0,IF(AA56=0,AK54,IF(AJ54&gt;0,SUM(AI54:AJ54)-AI55,AK54/100000*AB$116-AI55)))))</f>
        <v>EXPIRED</v>
      </c>
      <c r="AK55" s="44" t="str">
        <f ca="1">IF(Message&lt;&gt;"",Message,+IF(AC55&gt;0,AC55*RealEstate!AB$113,AK54-AJ55))</f>
        <v>EXPIRED</v>
      </c>
      <c r="AL55" s="20" t="str">
        <f t="shared" ca="1" si="30"/>
        <v>EXPIRED</v>
      </c>
      <c r="AM55" s="40"/>
    </row>
    <row r="56" spans="1:39" ht="14.45" x14ac:dyDescent="0.3">
      <c r="A56" s="14">
        <f t="shared" si="31"/>
        <v>51</v>
      </c>
      <c r="B56" s="14">
        <f t="shared" si="31"/>
        <v>91</v>
      </c>
      <c r="C56" s="38">
        <f t="shared" si="20"/>
        <v>2.7454197896550765</v>
      </c>
      <c r="E56" s="23">
        <f t="shared" ca="1" si="21"/>
        <v>0</v>
      </c>
      <c r="F56" s="20">
        <f t="shared" ca="1" si="12"/>
        <v>0</v>
      </c>
      <c r="G56" s="20">
        <f t="shared" ca="1" si="13"/>
        <v>0</v>
      </c>
      <c r="H56" s="23">
        <f t="shared" ca="1" si="22"/>
        <v>0</v>
      </c>
      <c r="I56" s="20">
        <f t="shared" ca="1" si="23"/>
        <v>0</v>
      </c>
      <c r="J56" s="20">
        <f t="shared" ca="1" si="24"/>
        <v>0</v>
      </c>
      <c r="K56" s="23">
        <f t="shared" ca="1" si="19"/>
        <v>0</v>
      </c>
      <c r="L56" s="23">
        <f t="shared" ca="1" si="25"/>
        <v>0</v>
      </c>
      <c r="M56" s="40"/>
      <c r="N56" s="20" t="str">
        <f ca="1">IF(Message&lt;&gt;"",Message,IF(OR($B56&gt;RealEstate!O$112,$B56&lt;RealEstate!O$111),0,RealEstate!O$109*(1+inflation+RealEstate!O$110)^$A56))</f>
        <v>EXPIRED</v>
      </c>
      <c r="O56" s="23" t="str">
        <f t="shared" ca="1" si="27"/>
        <v>EXPIRED</v>
      </c>
      <c r="P56" s="23" t="str">
        <f ca="1">IF(Message&lt;&gt;"",Message,IF($B56=RealEstate!O$111,N56*(1+$C$3),0)+IF(B56=RealEstate!O$112,-N56*(1-$C$2),0))</f>
        <v>EXPIRED</v>
      </c>
      <c r="Q56" s="53" t="str">
        <f ca="1">IF(Message&lt;&gt;"",Message,+IF(P56&lt;0,MAX(0,N56 - RealEstate!O$109*(1+RealEstate!O$110)^(MAX(age,RealEstate!O$111)-age)-Taxes!$B$11*$C56),0))</f>
        <v>EXPIRED</v>
      </c>
      <c r="R56" s="43" t="str">
        <f ca="1">IF(Message&lt;&gt;"",Message,IF(AND(P56&lt;=0,N56&gt;0),+N56*RealEstate!O$117,0))</f>
        <v>EXPIRED</v>
      </c>
      <c r="S56" s="23" t="str">
        <f ca="1">IF(Message&lt;&gt;"",Message,IF(AND(P56&lt;=0,N56&gt;0),+N56*RealEstate!O$118,0))</f>
        <v>EXPIRED</v>
      </c>
      <c r="T56" s="23" t="str">
        <f ca="1">IF(Message&lt;&gt;"",Message,IF(AND(P56&lt;=0,N56&gt;0),+RealEstate!O$119*$C56,0))</f>
        <v>EXPIRED</v>
      </c>
      <c r="U56" s="44" t="str">
        <f ca="1">IF(Message&lt;&gt;"",Message,IF(AND(P56&lt;=0,N56&gt;0),+RealEstate!O$120*$C56,0))</f>
        <v>EXPIRED</v>
      </c>
      <c r="V56" s="23" t="str">
        <f ca="1">IF(Message&lt;&gt;"",Message,+X55*RealEstate!O$115)</f>
        <v>EXPIRED</v>
      </c>
      <c r="W56" s="23" t="str">
        <f ca="1">IF(Message&lt;&gt;"",Message,+IF(P56&gt;0,-P56*RealEstate!O$113,IF(X55&lt;=0.1,0,IF(N57=0,X55,IF(W55&gt;0,SUM(V55:W55)-V56,X55/100000*O$116-V56)))))</f>
        <v>EXPIRED</v>
      </c>
      <c r="X56" s="44" t="str">
        <f ca="1">IF(Message&lt;&gt;"",Message,+IF(P56&gt;0,P56*RealEstate!O$113,X55-W56))</f>
        <v>EXPIRED</v>
      </c>
      <c r="Y56" s="20" t="str">
        <f t="shared" ca="1" si="28"/>
        <v>EXPIRED</v>
      </c>
      <c r="Z56" s="40"/>
      <c r="AA56" s="20" t="str">
        <f ca="1">IF(Message&lt;&gt;"",Message,IF(OR($B56&gt;RealEstate!AB$112,$B56&lt;RealEstate!AB$111),0,RealEstate!AB$109*(1+inflation+RealEstate!AB$110)^$A56))</f>
        <v>EXPIRED</v>
      </c>
      <c r="AB56" s="23" t="str">
        <f t="shared" ca="1" si="29"/>
        <v>EXPIRED</v>
      </c>
      <c r="AC56" s="23" t="str">
        <f ca="1">IF(Message&lt;&gt;"",Message,IF($B56=RealEstate!AB$111,AA56*(1+$C$3),0)+IF(O56=RealEstate!AB$112,-AA56*(1-$C$2),0))</f>
        <v>EXPIRED</v>
      </c>
      <c r="AD56" s="53" t="str">
        <f ca="1">IF(Message&lt;&gt;"",Message,+IF(AC56&lt;0,MAX(0,AA56 - RealEstate!AB$109*(1+RealEstate!AB$110)^(MAX(age,RealEstate!AB$111)-age)-Taxes!$B$11*$C56),0))</f>
        <v>EXPIRED</v>
      </c>
      <c r="AE56" s="43" t="str">
        <f ca="1">IF(Message&lt;&gt;"",Message,IF(AND(AC56&lt;=0,AA56&gt;0),+AA56*RealEstate!AB$117,0))</f>
        <v>EXPIRED</v>
      </c>
      <c r="AF56" s="23" t="str">
        <f ca="1">IF(Message&lt;&gt;"",Message,IF(AND(AC56&lt;=0,AA56&gt;0),+AA56*RealEstate!AB$118,0))</f>
        <v>EXPIRED</v>
      </c>
      <c r="AG56" s="23" t="str">
        <f ca="1">IF(Message&lt;&gt;"",Message,IF(AND(AC56&lt;=0,AA56&gt;0),+RealEstate!AB$119*$C56,0))</f>
        <v>EXPIRED</v>
      </c>
      <c r="AH56" s="44" t="str">
        <f ca="1">IF(Message&lt;&gt;"",Message,IF(AND(AC56&lt;=0,AA56&gt;0),+RealEstate!AB$120*$C56,0))</f>
        <v>EXPIRED</v>
      </c>
      <c r="AI56" s="23" t="str">
        <f ca="1">IF(Message&lt;&gt;"",Message,+AK55*RealEstate!AB$115)</f>
        <v>EXPIRED</v>
      </c>
      <c r="AJ56" s="23" t="str">
        <f ca="1">IF(Message&lt;&gt;"",Message,+IF(AC56&gt;0,-AC56*RealEstate!AB$113,IF(AK55&lt;=0.1,0,IF(AA57=0,AK55,IF(AJ55&gt;0,SUM(AI55:AJ55)-AI56,AK55/100000*AB$116-AI56)))))</f>
        <v>EXPIRED</v>
      </c>
      <c r="AK56" s="44" t="str">
        <f ca="1">IF(Message&lt;&gt;"",Message,+IF(AC56&gt;0,AC56*RealEstate!AB$113,AK55-AJ56))</f>
        <v>EXPIRED</v>
      </c>
      <c r="AL56" s="20" t="str">
        <f t="shared" ca="1" si="30"/>
        <v>EXPIRED</v>
      </c>
      <c r="AM56" s="40"/>
    </row>
    <row r="57" spans="1:39" x14ac:dyDescent="0.25">
      <c r="A57" s="14">
        <f t="shared" si="31"/>
        <v>52</v>
      </c>
      <c r="B57" s="14">
        <f t="shared" si="31"/>
        <v>92</v>
      </c>
      <c r="C57" s="38">
        <f t="shared" si="20"/>
        <v>2.8003281854481785</v>
      </c>
      <c r="E57" s="23">
        <f t="shared" ca="1" si="21"/>
        <v>0</v>
      </c>
      <c r="F57" s="20">
        <f t="shared" ca="1" si="12"/>
        <v>0</v>
      </c>
      <c r="G57" s="20">
        <f t="shared" ca="1" si="13"/>
        <v>0</v>
      </c>
      <c r="H57" s="23">
        <f t="shared" ca="1" si="22"/>
        <v>0</v>
      </c>
      <c r="I57" s="20">
        <f t="shared" ca="1" si="23"/>
        <v>0</v>
      </c>
      <c r="J57" s="20">
        <f t="shared" ca="1" si="24"/>
        <v>0</v>
      </c>
      <c r="K57" s="23">
        <f t="shared" ca="1" si="19"/>
        <v>0</v>
      </c>
      <c r="L57" s="23">
        <f t="shared" ca="1" si="25"/>
        <v>0</v>
      </c>
      <c r="M57" s="40"/>
      <c r="N57" s="20" t="str">
        <f ca="1">IF(Message&lt;&gt;"",Message,IF(OR($B57&gt;RealEstate!O$112,$B57&lt;RealEstate!O$111),0,RealEstate!O$109*(1+inflation+RealEstate!O$110)^$A57))</f>
        <v>EXPIRED</v>
      </c>
      <c r="O57" s="23" t="str">
        <f t="shared" ca="1" si="27"/>
        <v>EXPIRED</v>
      </c>
      <c r="P57" s="23" t="str">
        <f ca="1">IF(Message&lt;&gt;"",Message,IF($B57=RealEstate!O$111,N57*(1+$C$3),0)+IF(B57=RealEstate!O$112,-N57*(1-$C$2),0))</f>
        <v>EXPIRED</v>
      </c>
      <c r="Q57" s="53" t="str">
        <f ca="1">IF(Message&lt;&gt;"",Message,+IF(P57&lt;0,MAX(0,N57 - RealEstate!O$109*(1+RealEstate!O$110)^(MAX(age,RealEstate!O$111)-age)-Taxes!$B$11*$C57),0))</f>
        <v>EXPIRED</v>
      </c>
      <c r="R57" s="43" t="str">
        <f ca="1">IF(Message&lt;&gt;"",Message,IF(AND(P57&lt;=0,N57&gt;0),+N57*RealEstate!O$117,0))</f>
        <v>EXPIRED</v>
      </c>
      <c r="S57" s="23" t="str">
        <f ca="1">IF(Message&lt;&gt;"",Message,IF(AND(P57&lt;=0,N57&gt;0),+N57*RealEstate!O$118,0))</f>
        <v>EXPIRED</v>
      </c>
      <c r="T57" s="23" t="str">
        <f ca="1">IF(Message&lt;&gt;"",Message,IF(AND(P57&lt;=0,N57&gt;0),+RealEstate!O$119*$C57,0))</f>
        <v>EXPIRED</v>
      </c>
      <c r="U57" s="44" t="str">
        <f ca="1">IF(Message&lt;&gt;"",Message,IF(AND(P57&lt;=0,N57&gt;0),+RealEstate!O$120*$C57,0))</f>
        <v>EXPIRED</v>
      </c>
      <c r="V57" s="23" t="str">
        <f ca="1">IF(Message&lt;&gt;"",Message,+X56*RealEstate!O$115)</f>
        <v>EXPIRED</v>
      </c>
      <c r="W57" s="23" t="str">
        <f ca="1">IF(Message&lt;&gt;"",Message,+IF(P57&gt;0,-P57*RealEstate!O$113,IF(X56&lt;=0.1,0,IF(N58=0,X56,IF(W56&gt;0,SUM(V56:W56)-V57,X56/100000*O$116-V57)))))</f>
        <v>EXPIRED</v>
      </c>
      <c r="X57" s="44" t="str">
        <f ca="1">IF(Message&lt;&gt;"",Message,+IF(P57&gt;0,P57*RealEstate!O$113,X56-W57))</f>
        <v>EXPIRED</v>
      </c>
      <c r="Y57" s="20" t="str">
        <f t="shared" ca="1" si="28"/>
        <v>EXPIRED</v>
      </c>
      <c r="Z57" s="40"/>
      <c r="AA57" s="20" t="str">
        <f ca="1">IF(Message&lt;&gt;"",Message,IF(OR($B57&gt;RealEstate!AB$112,$B57&lt;RealEstate!AB$111),0,RealEstate!AB$109*(1+inflation+RealEstate!AB$110)^$A57))</f>
        <v>EXPIRED</v>
      </c>
      <c r="AB57" s="23" t="str">
        <f t="shared" ca="1" si="29"/>
        <v>EXPIRED</v>
      </c>
      <c r="AC57" s="23" t="str">
        <f ca="1">IF(Message&lt;&gt;"",Message,IF($B57=RealEstate!AB$111,AA57*(1+$C$3),0)+IF(O57=RealEstate!AB$112,-AA57*(1-$C$2),0))</f>
        <v>EXPIRED</v>
      </c>
      <c r="AD57" s="53" t="str">
        <f ca="1">IF(Message&lt;&gt;"",Message,+IF(AC57&lt;0,MAX(0,AA57 - RealEstate!AB$109*(1+RealEstate!AB$110)^(MAX(age,RealEstate!AB$111)-age)-Taxes!$B$11*$C57),0))</f>
        <v>EXPIRED</v>
      </c>
      <c r="AE57" s="43" t="str">
        <f ca="1">IF(Message&lt;&gt;"",Message,IF(AND(AC57&lt;=0,AA57&gt;0),+AA57*RealEstate!AB$117,0))</f>
        <v>EXPIRED</v>
      </c>
      <c r="AF57" s="23" t="str">
        <f ca="1">IF(Message&lt;&gt;"",Message,IF(AND(AC57&lt;=0,AA57&gt;0),+AA57*RealEstate!AB$118,0))</f>
        <v>EXPIRED</v>
      </c>
      <c r="AG57" s="23" t="str">
        <f ca="1">IF(Message&lt;&gt;"",Message,IF(AND(AC57&lt;=0,AA57&gt;0),+RealEstate!AB$119*$C57,0))</f>
        <v>EXPIRED</v>
      </c>
      <c r="AH57" s="44" t="str">
        <f ca="1">IF(Message&lt;&gt;"",Message,IF(AND(AC57&lt;=0,AA57&gt;0),+RealEstate!AB$120*$C57,0))</f>
        <v>EXPIRED</v>
      </c>
      <c r="AI57" s="23" t="str">
        <f ca="1">IF(Message&lt;&gt;"",Message,+AK56*RealEstate!AB$115)</f>
        <v>EXPIRED</v>
      </c>
      <c r="AJ57" s="23" t="str">
        <f ca="1">IF(Message&lt;&gt;"",Message,+IF(AC57&gt;0,-AC57*RealEstate!AB$113,IF(AK56&lt;=0.1,0,IF(AA58=0,AK56,IF(AJ56&gt;0,SUM(AI56:AJ56)-AI57,AK56/100000*AB$116-AI57)))))</f>
        <v>EXPIRED</v>
      </c>
      <c r="AK57" s="44" t="str">
        <f ca="1">IF(Message&lt;&gt;"",Message,+IF(AC57&gt;0,AC57*RealEstate!AB$113,AK56-AJ57))</f>
        <v>EXPIRED</v>
      </c>
      <c r="AL57" s="20" t="str">
        <f t="shared" ca="1" si="30"/>
        <v>EXPIRED</v>
      </c>
      <c r="AM57" s="40"/>
    </row>
    <row r="58" spans="1:39" x14ac:dyDescent="0.25">
      <c r="A58" s="14">
        <f t="shared" si="31"/>
        <v>53</v>
      </c>
      <c r="B58" s="14">
        <f t="shared" si="31"/>
        <v>93</v>
      </c>
      <c r="C58" s="38">
        <f t="shared" si="20"/>
        <v>2.8563347491571416</v>
      </c>
      <c r="E58" s="23">
        <f t="shared" ca="1" si="21"/>
        <v>0</v>
      </c>
      <c r="F58" s="20">
        <f t="shared" ca="1" si="12"/>
        <v>0</v>
      </c>
      <c r="G58" s="20">
        <f t="shared" ca="1" si="13"/>
        <v>0</v>
      </c>
      <c r="H58" s="23">
        <f t="shared" ca="1" si="22"/>
        <v>0</v>
      </c>
      <c r="I58" s="20">
        <f t="shared" ca="1" si="23"/>
        <v>0</v>
      </c>
      <c r="J58" s="20">
        <f t="shared" ca="1" si="24"/>
        <v>0</v>
      </c>
      <c r="K58" s="23">
        <f t="shared" ca="1" si="19"/>
        <v>0</v>
      </c>
      <c r="L58" s="23">
        <f t="shared" ca="1" si="25"/>
        <v>0</v>
      </c>
      <c r="M58" s="40"/>
      <c r="N58" s="20" t="str">
        <f ca="1">IF(Message&lt;&gt;"",Message,IF(OR($B58&gt;RealEstate!O$112,$B58&lt;RealEstate!O$111),0,RealEstate!O$109*(1+inflation+RealEstate!O$110)^$A58))</f>
        <v>EXPIRED</v>
      </c>
      <c r="O58" s="23" t="str">
        <f t="shared" ca="1" si="27"/>
        <v>EXPIRED</v>
      </c>
      <c r="P58" s="23" t="str">
        <f ca="1">IF(Message&lt;&gt;"",Message,IF($B58=RealEstate!O$111,N58*(1+$C$3),0)+IF(B58=RealEstate!O$112,-N58*(1-$C$2),0))</f>
        <v>EXPIRED</v>
      </c>
      <c r="Q58" s="53" t="str">
        <f ca="1">IF(Message&lt;&gt;"",Message,+IF(P58&lt;0,MAX(0,N58 - RealEstate!O$109*(1+RealEstate!O$110)^(MAX(age,RealEstate!O$111)-age)-Taxes!$B$11*$C58),0))</f>
        <v>EXPIRED</v>
      </c>
      <c r="R58" s="43" t="str">
        <f ca="1">IF(Message&lt;&gt;"",Message,IF(AND(P58&lt;=0,N58&gt;0),+N58*RealEstate!O$117,0))</f>
        <v>EXPIRED</v>
      </c>
      <c r="S58" s="23" t="str">
        <f ca="1">IF(Message&lt;&gt;"",Message,IF(AND(P58&lt;=0,N58&gt;0),+N58*RealEstate!O$118,0))</f>
        <v>EXPIRED</v>
      </c>
      <c r="T58" s="23" t="str">
        <f ca="1">IF(Message&lt;&gt;"",Message,IF(AND(P58&lt;=0,N58&gt;0),+RealEstate!O$119*$C58,0))</f>
        <v>EXPIRED</v>
      </c>
      <c r="U58" s="44" t="str">
        <f ca="1">IF(Message&lt;&gt;"",Message,IF(AND(P58&lt;=0,N58&gt;0),+RealEstate!O$120*$C58,0))</f>
        <v>EXPIRED</v>
      </c>
      <c r="V58" s="23" t="str">
        <f ca="1">IF(Message&lt;&gt;"",Message,+X57*RealEstate!O$115)</f>
        <v>EXPIRED</v>
      </c>
      <c r="W58" s="23" t="str">
        <f ca="1">IF(Message&lt;&gt;"",Message,+IF(P58&gt;0,-P58*RealEstate!O$113,IF(X57&lt;=0.1,0,IF(N59=0,X57,IF(W57&gt;0,SUM(V57:W57)-V58,X57/100000*O$116-V58)))))</f>
        <v>EXPIRED</v>
      </c>
      <c r="X58" s="44" t="str">
        <f ca="1">IF(Message&lt;&gt;"",Message,+IF(P58&gt;0,P58*RealEstate!O$113,X57-W58))</f>
        <v>EXPIRED</v>
      </c>
      <c r="Y58" s="20" t="str">
        <f t="shared" ca="1" si="28"/>
        <v>EXPIRED</v>
      </c>
      <c r="Z58" s="40"/>
      <c r="AA58" s="20" t="str">
        <f ca="1">IF(Message&lt;&gt;"",Message,IF(OR($B58&gt;RealEstate!AB$112,$B58&lt;RealEstate!AB$111),0,RealEstate!AB$109*(1+inflation+RealEstate!AB$110)^$A58))</f>
        <v>EXPIRED</v>
      </c>
      <c r="AB58" s="23" t="str">
        <f t="shared" ca="1" si="29"/>
        <v>EXPIRED</v>
      </c>
      <c r="AC58" s="23" t="str">
        <f ca="1">IF(Message&lt;&gt;"",Message,IF($B58=RealEstate!AB$111,AA58*(1+$C$3),0)+IF(O58=RealEstate!AB$112,-AA58*(1-$C$2),0))</f>
        <v>EXPIRED</v>
      </c>
      <c r="AD58" s="53" t="str">
        <f ca="1">IF(Message&lt;&gt;"",Message,+IF(AC58&lt;0,MAX(0,AA58 - RealEstate!AB$109*(1+RealEstate!AB$110)^(MAX(age,RealEstate!AB$111)-age)-Taxes!$B$11*$C58),0))</f>
        <v>EXPIRED</v>
      </c>
      <c r="AE58" s="43" t="str">
        <f ca="1">IF(Message&lt;&gt;"",Message,IF(AND(AC58&lt;=0,AA58&gt;0),+AA58*RealEstate!AB$117,0))</f>
        <v>EXPIRED</v>
      </c>
      <c r="AF58" s="23" t="str">
        <f ca="1">IF(Message&lt;&gt;"",Message,IF(AND(AC58&lt;=0,AA58&gt;0),+AA58*RealEstate!AB$118,0))</f>
        <v>EXPIRED</v>
      </c>
      <c r="AG58" s="23" t="str">
        <f ca="1">IF(Message&lt;&gt;"",Message,IF(AND(AC58&lt;=0,AA58&gt;0),+RealEstate!AB$119*$C58,0))</f>
        <v>EXPIRED</v>
      </c>
      <c r="AH58" s="44" t="str">
        <f ca="1">IF(Message&lt;&gt;"",Message,IF(AND(AC58&lt;=0,AA58&gt;0),+RealEstate!AB$120*$C58,0))</f>
        <v>EXPIRED</v>
      </c>
      <c r="AI58" s="23" t="str">
        <f ca="1">IF(Message&lt;&gt;"",Message,+AK57*RealEstate!AB$115)</f>
        <v>EXPIRED</v>
      </c>
      <c r="AJ58" s="23" t="str">
        <f ca="1">IF(Message&lt;&gt;"",Message,+IF(AC58&gt;0,-AC58*RealEstate!AB$113,IF(AK57&lt;=0.1,0,IF(AA59=0,AK57,IF(AJ57&gt;0,SUM(AI57:AJ57)-AI58,AK57/100000*AB$116-AI58)))))</f>
        <v>EXPIRED</v>
      </c>
      <c r="AK58" s="44" t="str">
        <f ca="1">IF(Message&lt;&gt;"",Message,+IF(AC58&gt;0,AC58*RealEstate!AB$113,AK57-AJ58))</f>
        <v>EXPIRED</v>
      </c>
      <c r="AL58" s="20" t="str">
        <f t="shared" ca="1" si="30"/>
        <v>EXPIRED</v>
      </c>
      <c r="AM58" s="40"/>
    </row>
    <row r="59" spans="1:39" x14ac:dyDescent="0.25">
      <c r="A59" s="14">
        <f t="shared" si="31"/>
        <v>54</v>
      </c>
      <c r="B59" s="14">
        <f t="shared" si="31"/>
        <v>94</v>
      </c>
      <c r="C59" s="38">
        <f t="shared" si="20"/>
        <v>2.9134614441402849</v>
      </c>
      <c r="E59" s="23">
        <f t="shared" ca="1" si="21"/>
        <v>0</v>
      </c>
      <c r="F59" s="20">
        <f t="shared" ca="1" si="12"/>
        <v>0</v>
      </c>
      <c r="G59" s="20">
        <f t="shared" ca="1" si="13"/>
        <v>0</v>
      </c>
      <c r="H59" s="23">
        <f t="shared" ca="1" si="22"/>
        <v>0</v>
      </c>
      <c r="I59" s="20">
        <f t="shared" ca="1" si="23"/>
        <v>0</v>
      </c>
      <c r="J59" s="20">
        <f t="shared" ca="1" si="24"/>
        <v>0</v>
      </c>
      <c r="K59" s="23">
        <f t="shared" ca="1" si="19"/>
        <v>0</v>
      </c>
      <c r="L59" s="23">
        <f t="shared" ca="1" si="25"/>
        <v>0</v>
      </c>
      <c r="M59" s="40"/>
      <c r="N59" s="20" t="str">
        <f ca="1">IF(Message&lt;&gt;"",Message,IF(OR($B59&gt;RealEstate!O$112,$B59&lt;RealEstate!O$111),0,RealEstate!O$109*(1+inflation+RealEstate!O$110)^$A59))</f>
        <v>EXPIRED</v>
      </c>
      <c r="O59" s="23" t="str">
        <f t="shared" ca="1" si="27"/>
        <v>EXPIRED</v>
      </c>
      <c r="P59" s="23" t="str">
        <f ca="1">IF(Message&lt;&gt;"",Message,IF($B59=RealEstate!O$111,N59*(1+$C$3),0)+IF(B59=RealEstate!O$112,-N59*(1-$C$2),0))</f>
        <v>EXPIRED</v>
      </c>
      <c r="Q59" s="53" t="str">
        <f ca="1">IF(Message&lt;&gt;"",Message,+IF(P59&lt;0,MAX(0,N59 - RealEstate!O$109*(1+RealEstate!O$110)^(MAX(age,RealEstate!O$111)-age)-Taxes!$B$11*$C59),0))</f>
        <v>EXPIRED</v>
      </c>
      <c r="R59" s="43" t="str">
        <f ca="1">IF(Message&lt;&gt;"",Message,IF(AND(P59&lt;=0,N59&gt;0),+N59*RealEstate!O$117,0))</f>
        <v>EXPIRED</v>
      </c>
      <c r="S59" s="23" t="str">
        <f ca="1">IF(Message&lt;&gt;"",Message,IF(AND(P59&lt;=0,N59&gt;0),+N59*RealEstate!O$118,0))</f>
        <v>EXPIRED</v>
      </c>
      <c r="T59" s="23" t="str">
        <f ca="1">IF(Message&lt;&gt;"",Message,IF(AND(P59&lt;=0,N59&gt;0),+RealEstate!O$119*$C59,0))</f>
        <v>EXPIRED</v>
      </c>
      <c r="U59" s="44" t="str">
        <f ca="1">IF(Message&lt;&gt;"",Message,IF(AND(P59&lt;=0,N59&gt;0),+RealEstate!O$120*$C59,0))</f>
        <v>EXPIRED</v>
      </c>
      <c r="V59" s="23" t="str">
        <f ca="1">IF(Message&lt;&gt;"",Message,+X58*RealEstate!O$115)</f>
        <v>EXPIRED</v>
      </c>
      <c r="W59" s="23" t="str">
        <f ca="1">IF(Message&lt;&gt;"",Message,+IF(P59&gt;0,-P59*RealEstate!O$113,IF(X58&lt;=0.1,0,IF(N60=0,X58,IF(W58&gt;0,SUM(V58:W58)-V59,X58/100000*O$116-V59)))))</f>
        <v>EXPIRED</v>
      </c>
      <c r="X59" s="44" t="str">
        <f ca="1">IF(Message&lt;&gt;"",Message,+IF(P59&gt;0,P59*RealEstate!O$113,X58-W59))</f>
        <v>EXPIRED</v>
      </c>
      <c r="Y59" s="20" t="str">
        <f t="shared" ca="1" si="28"/>
        <v>EXPIRED</v>
      </c>
      <c r="Z59" s="40"/>
      <c r="AA59" s="20" t="str">
        <f ca="1">IF(Message&lt;&gt;"",Message,IF(OR($B59&gt;RealEstate!AB$112,$B59&lt;RealEstate!AB$111),0,RealEstate!AB$109*(1+inflation+RealEstate!AB$110)^$A59))</f>
        <v>EXPIRED</v>
      </c>
      <c r="AB59" s="23" t="str">
        <f t="shared" ca="1" si="29"/>
        <v>EXPIRED</v>
      </c>
      <c r="AC59" s="23" t="str">
        <f ca="1">IF(Message&lt;&gt;"",Message,IF($B59=RealEstate!AB$111,AA59*(1+$C$3),0)+IF(O59=RealEstate!AB$112,-AA59*(1-$C$2),0))</f>
        <v>EXPIRED</v>
      </c>
      <c r="AD59" s="53" t="str">
        <f ca="1">IF(Message&lt;&gt;"",Message,+IF(AC59&lt;0,MAX(0,AA59 - RealEstate!AB$109*(1+RealEstate!AB$110)^(MAX(age,RealEstate!AB$111)-age)-Taxes!$B$11*$C59),0))</f>
        <v>EXPIRED</v>
      </c>
      <c r="AE59" s="43" t="str">
        <f ca="1">IF(Message&lt;&gt;"",Message,IF(AND(AC59&lt;=0,AA59&gt;0),+AA59*RealEstate!AB$117,0))</f>
        <v>EXPIRED</v>
      </c>
      <c r="AF59" s="23" t="str">
        <f ca="1">IF(Message&lt;&gt;"",Message,IF(AND(AC59&lt;=0,AA59&gt;0),+AA59*RealEstate!AB$118,0))</f>
        <v>EXPIRED</v>
      </c>
      <c r="AG59" s="23" t="str">
        <f ca="1">IF(Message&lt;&gt;"",Message,IF(AND(AC59&lt;=0,AA59&gt;0),+RealEstate!AB$119*$C59,0))</f>
        <v>EXPIRED</v>
      </c>
      <c r="AH59" s="44" t="str">
        <f ca="1">IF(Message&lt;&gt;"",Message,IF(AND(AC59&lt;=0,AA59&gt;0),+RealEstate!AB$120*$C59,0))</f>
        <v>EXPIRED</v>
      </c>
      <c r="AI59" s="23" t="str">
        <f ca="1">IF(Message&lt;&gt;"",Message,+AK58*RealEstate!AB$115)</f>
        <v>EXPIRED</v>
      </c>
      <c r="AJ59" s="23" t="str">
        <f ca="1">IF(Message&lt;&gt;"",Message,+IF(AC59&gt;0,-AC59*RealEstate!AB$113,IF(AK58&lt;=0.1,0,IF(AA60=0,AK58,IF(AJ58&gt;0,SUM(AI58:AJ58)-AI59,AK58/100000*AB$116-AI59)))))</f>
        <v>EXPIRED</v>
      </c>
      <c r="AK59" s="44" t="str">
        <f ca="1">IF(Message&lt;&gt;"",Message,+IF(AC59&gt;0,AC59*RealEstate!AB$113,AK58-AJ59))</f>
        <v>EXPIRED</v>
      </c>
      <c r="AL59" s="20" t="str">
        <f t="shared" ca="1" si="30"/>
        <v>EXPIRED</v>
      </c>
      <c r="AM59" s="40"/>
    </row>
    <row r="60" spans="1:39" x14ac:dyDescent="0.25">
      <c r="A60" s="14">
        <f t="shared" si="31"/>
        <v>55</v>
      </c>
      <c r="B60" s="14">
        <f t="shared" si="31"/>
        <v>95</v>
      </c>
      <c r="C60" s="38">
        <f t="shared" si="20"/>
        <v>2.9717306730230897</v>
      </c>
      <c r="E60" s="23">
        <f t="shared" ca="1" si="21"/>
        <v>0</v>
      </c>
      <c r="F60" s="20">
        <f t="shared" ca="1" si="12"/>
        <v>0</v>
      </c>
      <c r="G60" s="20">
        <f t="shared" ca="1" si="13"/>
        <v>0</v>
      </c>
      <c r="H60" s="23">
        <f t="shared" ca="1" si="22"/>
        <v>0</v>
      </c>
      <c r="I60" s="20">
        <f t="shared" ca="1" si="23"/>
        <v>0</v>
      </c>
      <c r="J60" s="20">
        <f t="shared" ca="1" si="24"/>
        <v>0</v>
      </c>
      <c r="K60" s="23">
        <f t="shared" ca="1" si="19"/>
        <v>0</v>
      </c>
      <c r="L60" s="23">
        <f t="shared" ca="1" si="25"/>
        <v>0</v>
      </c>
      <c r="M60" s="40"/>
      <c r="N60" s="20" t="str">
        <f ca="1">IF(Message&lt;&gt;"",Message,IF(OR($B60&gt;RealEstate!O$112,$B60&lt;RealEstate!O$111),0,RealEstate!O$109*(1+inflation+RealEstate!O$110)^$A60))</f>
        <v>EXPIRED</v>
      </c>
      <c r="O60" s="23" t="str">
        <f t="shared" ca="1" si="27"/>
        <v>EXPIRED</v>
      </c>
      <c r="P60" s="23" t="str">
        <f ca="1">IF(Message&lt;&gt;"",Message,IF($B60=RealEstate!O$111,N60*(1+$C$3),0)+IF(B60=RealEstate!O$112,-N60*(1-$C$2),0))</f>
        <v>EXPIRED</v>
      </c>
      <c r="Q60" s="53" t="str">
        <f ca="1">IF(Message&lt;&gt;"",Message,+IF(P60&lt;0,MAX(0,N60 - RealEstate!O$109*(1+RealEstate!O$110)^(MAX(age,RealEstate!O$111)-age)-Taxes!$B$11*$C60),0))</f>
        <v>EXPIRED</v>
      </c>
      <c r="R60" s="43" t="str">
        <f ca="1">IF(Message&lt;&gt;"",Message,IF(AND(P60&lt;=0,N60&gt;0),+N60*RealEstate!O$117,0))</f>
        <v>EXPIRED</v>
      </c>
      <c r="S60" s="23" t="str">
        <f ca="1">IF(Message&lt;&gt;"",Message,IF(AND(P60&lt;=0,N60&gt;0),+N60*RealEstate!O$118,0))</f>
        <v>EXPIRED</v>
      </c>
      <c r="T60" s="23" t="str">
        <f ca="1">IF(Message&lt;&gt;"",Message,IF(AND(P60&lt;=0,N60&gt;0),+RealEstate!O$119*$C60,0))</f>
        <v>EXPIRED</v>
      </c>
      <c r="U60" s="44" t="str">
        <f ca="1">IF(Message&lt;&gt;"",Message,IF(AND(P60&lt;=0,N60&gt;0),+RealEstate!O$120*$C60,0))</f>
        <v>EXPIRED</v>
      </c>
      <c r="V60" s="23" t="str">
        <f ca="1">IF(Message&lt;&gt;"",Message,+X59*RealEstate!O$115)</f>
        <v>EXPIRED</v>
      </c>
      <c r="W60" s="23" t="str">
        <f ca="1">IF(Message&lt;&gt;"",Message,+IF(P60&gt;0,-P60*RealEstate!O$113,IF(X59&lt;=0.1,0,IF(N61=0,X59,IF(W59&gt;0,SUM(V59:W59)-V60,X59/100000*O$116-V60)))))</f>
        <v>EXPIRED</v>
      </c>
      <c r="X60" s="44" t="str">
        <f ca="1">IF(Message&lt;&gt;"",Message,+IF(P60&gt;0,P60*RealEstate!O$113,X59-W60))</f>
        <v>EXPIRED</v>
      </c>
      <c r="Y60" s="20" t="str">
        <f t="shared" ca="1" si="28"/>
        <v>EXPIRED</v>
      </c>
      <c r="Z60" s="40"/>
      <c r="AA60" s="20" t="str">
        <f ca="1">IF(Message&lt;&gt;"",Message,IF(OR($B60&gt;RealEstate!AB$112,$B60&lt;RealEstate!AB$111),0,RealEstate!AB$109*(1+inflation+RealEstate!AB$110)^$A60))</f>
        <v>EXPIRED</v>
      </c>
      <c r="AB60" s="23" t="str">
        <f t="shared" ca="1" si="29"/>
        <v>EXPIRED</v>
      </c>
      <c r="AC60" s="23" t="str">
        <f ca="1">IF(Message&lt;&gt;"",Message,IF($B60=RealEstate!AB$111,AA60*(1+$C$3),0)+IF(O60=RealEstate!AB$112,-AA60*(1-$C$2),0))</f>
        <v>EXPIRED</v>
      </c>
      <c r="AD60" s="53" t="str">
        <f ca="1">IF(Message&lt;&gt;"",Message,+IF(AC60&lt;0,MAX(0,AA60 - RealEstate!AB$109*(1+RealEstate!AB$110)^(MAX(age,RealEstate!AB$111)-age)-Taxes!$B$11*$C60),0))</f>
        <v>EXPIRED</v>
      </c>
      <c r="AE60" s="43" t="str">
        <f ca="1">IF(Message&lt;&gt;"",Message,IF(AND(AC60&lt;=0,AA60&gt;0),+AA60*RealEstate!AB$117,0))</f>
        <v>EXPIRED</v>
      </c>
      <c r="AF60" s="23" t="str">
        <f ca="1">IF(Message&lt;&gt;"",Message,IF(AND(AC60&lt;=0,AA60&gt;0),+AA60*RealEstate!AB$118,0))</f>
        <v>EXPIRED</v>
      </c>
      <c r="AG60" s="23" t="str">
        <f ca="1">IF(Message&lt;&gt;"",Message,IF(AND(AC60&lt;=0,AA60&gt;0),+RealEstate!AB$119*$C60,0))</f>
        <v>EXPIRED</v>
      </c>
      <c r="AH60" s="44" t="str">
        <f ca="1">IF(Message&lt;&gt;"",Message,IF(AND(AC60&lt;=0,AA60&gt;0),+RealEstate!AB$120*$C60,0))</f>
        <v>EXPIRED</v>
      </c>
      <c r="AI60" s="23" t="str">
        <f ca="1">IF(Message&lt;&gt;"",Message,+AK59*RealEstate!AB$115)</f>
        <v>EXPIRED</v>
      </c>
      <c r="AJ60" s="23" t="str">
        <f ca="1">IF(Message&lt;&gt;"",Message,+IF(AC60&gt;0,-AC60*RealEstate!AB$113,IF(AK59&lt;=0.1,0,IF(AA61=0,AK59,IF(AJ59&gt;0,SUM(AI59:AJ59)-AI60,AK59/100000*AB$116-AI60)))))</f>
        <v>EXPIRED</v>
      </c>
      <c r="AK60" s="44" t="str">
        <f ca="1">IF(Message&lt;&gt;"",Message,+IF(AC60&gt;0,AC60*RealEstate!AB$113,AK59-AJ60))</f>
        <v>EXPIRED</v>
      </c>
      <c r="AL60" s="20" t="str">
        <f t="shared" ca="1" si="30"/>
        <v>EXPIRED</v>
      </c>
      <c r="AM60" s="40"/>
    </row>
    <row r="61" spans="1:39" x14ac:dyDescent="0.25">
      <c r="A61" s="14">
        <f t="shared" si="31"/>
        <v>56</v>
      </c>
      <c r="B61" s="14">
        <f t="shared" si="31"/>
        <v>96</v>
      </c>
      <c r="C61" s="38">
        <f t="shared" si="20"/>
        <v>3.0311652864835517</v>
      </c>
      <c r="E61" s="23">
        <f t="shared" ca="1" si="21"/>
        <v>0</v>
      </c>
      <c r="F61" s="20">
        <f t="shared" ca="1" si="12"/>
        <v>0</v>
      </c>
      <c r="G61" s="20">
        <f t="shared" ca="1" si="13"/>
        <v>0</v>
      </c>
      <c r="H61" s="23">
        <f t="shared" ca="1" si="22"/>
        <v>0</v>
      </c>
      <c r="I61" s="20">
        <f t="shared" ca="1" si="23"/>
        <v>0</v>
      </c>
      <c r="J61" s="20">
        <f t="shared" ca="1" si="24"/>
        <v>0</v>
      </c>
      <c r="K61" s="23">
        <f t="shared" ca="1" si="19"/>
        <v>0</v>
      </c>
      <c r="L61" s="23">
        <f t="shared" ca="1" si="25"/>
        <v>0</v>
      </c>
      <c r="M61" s="40"/>
      <c r="N61" s="20" t="str">
        <f ca="1">IF(Message&lt;&gt;"",Message,IF(OR($B61&gt;RealEstate!O$112,$B61&lt;RealEstate!O$111),0,RealEstate!O$109*(1+inflation+RealEstate!O$110)^$A61))</f>
        <v>EXPIRED</v>
      </c>
      <c r="O61" s="23" t="str">
        <f t="shared" ca="1" si="27"/>
        <v>EXPIRED</v>
      </c>
      <c r="P61" s="23" t="str">
        <f ca="1">IF(Message&lt;&gt;"",Message,IF($B61=RealEstate!O$111,N61*(1+$C$3),0)+IF(B61=RealEstate!O$112,-N61*(1-$C$2),0))</f>
        <v>EXPIRED</v>
      </c>
      <c r="Q61" s="53" t="str">
        <f ca="1">IF(Message&lt;&gt;"",Message,+IF(P61&lt;0,MAX(0,N61 - RealEstate!O$109*(1+RealEstate!O$110)^(MAX(age,RealEstate!O$111)-age)-Taxes!$B$11*$C61),0))</f>
        <v>EXPIRED</v>
      </c>
      <c r="R61" s="43" t="str">
        <f ca="1">IF(Message&lt;&gt;"",Message,IF(AND(P61&lt;=0,N61&gt;0),+N61*RealEstate!O$117,0))</f>
        <v>EXPIRED</v>
      </c>
      <c r="S61" s="23" t="str">
        <f ca="1">IF(Message&lt;&gt;"",Message,IF(AND(P61&lt;=0,N61&gt;0),+N61*RealEstate!O$118,0))</f>
        <v>EXPIRED</v>
      </c>
      <c r="T61" s="23" t="str">
        <f ca="1">IF(Message&lt;&gt;"",Message,IF(AND(P61&lt;=0,N61&gt;0),+RealEstate!O$119*$C61,0))</f>
        <v>EXPIRED</v>
      </c>
      <c r="U61" s="44" t="str">
        <f ca="1">IF(Message&lt;&gt;"",Message,IF(AND(P61&lt;=0,N61&gt;0),+RealEstate!O$120*$C61,0))</f>
        <v>EXPIRED</v>
      </c>
      <c r="V61" s="23" t="str">
        <f ca="1">IF(Message&lt;&gt;"",Message,+X60*RealEstate!O$115)</f>
        <v>EXPIRED</v>
      </c>
      <c r="W61" s="23" t="str">
        <f ca="1">IF(Message&lt;&gt;"",Message,+IF(P61&gt;0,-P61*RealEstate!O$113,IF(X60&lt;=0.1,0,IF(N62=0,X60,IF(W60&gt;0,SUM(V60:W60)-V61,X60/100000*O$116-V61)))))</f>
        <v>EXPIRED</v>
      </c>
      <c r="X61" s="44" t="str">
        <f ca="1">IF(Message&lt;&gt;"",Message,+IF(P61&gt;0,P61*RealEstate!O$113,X60-W61))</f>
        <v>EXPIRED</v>
      </c>
      <c r="Y61" s="20" t="str">
        <f t="shared" ca="1" si="28"/>
        <v>EXPIRED</v>
      </c>
      <c r="Z61" s="40"/>
      <c r="AA61" s="20" t="str">
        <f ca="1">IF(Message&lt;&gt;"",Message,IF(OR($B61&gt;RealEstate!AB$112,$B61&lt;RealEstate!AB$111),0,RealEstate!AB$109*(1+inflation+RealEstate!AB$110)^$A61))</f>
        <v>EXPIRED</v>
      </c>
      <c r="AB61" s="23" t="str">
        <f t="shared" ca="1" si="29"/>
        <v>EXPIRED</v>
      </c>
      <c r="AC61" s="23" t="str">
        <f ca="1">IF(Message&lt;&gt;"",Message,IF($B61=RealEstate!AB$111,AA61*(1+$C$3),0)+IF(O61=RealEstate!AB$112,-AA61*(1-$C$2),0))</f>
        <v>EXPIRED</v>
      </c>
      <c r="AD61" s="53" t="str">
        <f ca="1">IF(Message&lt;&gt;"",Message,+IF(AC61&lt;0,MAX(0,AA61 - RealEstate!AB$109*(1+RealEstate!AB$110)^(MAX(age,RealEstate!AB$111)-age)-Taxes!$B$11*$C61),0))</f>
        <v>EXPIRED</v>
      </c>
      <c r="AE61" s="43" t="str">
        <f ca="1">IF(Message&lt;&gt;"",Message,IF(AND(AC61&lt;=0,AA61&gt;0),+AA61*RealEstate!AB$117,0))</f>
        <v>EXPIRED</v>
      </c>
      <c r="AF61" s="23" t="str">
        <f ca="1">IF(Message&lt;&gt;"",Message,IF(AND(AC61&lt;=0,AA61&gt;0),+AA61*RealEstate!AB$118,0))</f>
        <v>EXPIRED</v>
      </c>
      <c r="AG61" s="23" t="str">
        <f ca="1">IF(Message&lt;&gt;"",Message,IF(AND(AC61&lt;=0,AA61&gt;0),+RealEstate!AB$119*$C61,0))</f>
        <v>EXPIRED</v>
      </c>
      <c r="AH61" s="44" t="str">
        <f ca="1">IF(Message&lt;&gt;"",Message,IF(AND(AC61&lt;=0,AA61&gt;0),+RealEstate!AB$120*$C61,0))</f>
        <v>EXPIRED</v>
      </c>
      <c r="AI61" s="23" t="str">
        <f ca="1">IF(Message&lt;&gt;"",Message,+AK60*RealEstate!AB$115)</f>
        <v>EXPIRED</v>
      </c>
      <c r="AJ61" s="23" t="str">
        <f ca="1">IF(Message&lt;&gt;"",Message,+IF(AC61&gt;0,-AC61*RealEstate!AB$113,IF(AK60&lt;=0.1,0,IF(AA62=0,AK60,IF(AJ60&gt;0,SUM(AI60:AJ60)-AI61,AK60/100000*AB$116-AI61)))))</f>
        <v>EXPIRED</v>
      </c>
      <c r="AK61" s="44" t="str">
        <f ca="1">IF(Message&lt;&gt;"",Message,+IF(AC61&gt;0,AC61*RealEstate!AB$113,AK60-AJ61))</f>
        <v>EXPIRED</v>
      </c>
      <c r="AL61" s="20" t="str">
        <f t="shared" ca="1" si="30"/>
        <v>EXPIRED</v>
      </c>
      <c r="AM61" s="40"/>
    </row>
    <row r="62" spans="1:39" x14ac:dyDescent="0.25">
      <c r="A62" s="14">
        <f t="shared" si="31"/>
        <v>57</v>
      </c>
      <c r="B62" s="14">
        <f t="shared" si="31"/>
        <v>97</v>
      </c>
      <c r="C62" s="38">
        <f t="shared" si="20"/>
        <v>3.0917885922132227</v>
      </c>
      <c r="E62" s="23">
        <f t="shared" ca="1" si="21"/>
        <v>0</v>
      </c>
      <c r="F62" s="20">
        <f t="shared" ca="1" si="12"/>
        <v>0</v>
      </c>
      <c r="G62" s="20">
        <f t="shared" ca="1" si="13"/>
        <v>0</v>
      </c>
      <c r="H62" s="23">
        <f t="shared" ca="1" si="22"/>
        <v>0</v>
      </c>
      <c r="I62" s="20">
        <f t="shared" ca="1" si="23"/>
        <v>0</v>
      </c>
      <c r="J62" s="20">
        <f t="shared" ca="1" si="24"/>
        <v>0</v>
      </c>
      <c r="K62" s="23">
        <f t="shared" ca="1" si="19"/>
        <v>0</v>
      </c>
      <c r="L62" s="23">
        <f t="shared" ca="1" si="25"/>
        <v>0</v>
      </c>
      <c r="M62" s="40"/>
      <c r="N62" s="20" t="str">
        <f ca="1">IF(Message&lt;&gt;"",Message,IF(OR($B62&gt;RealEstate!O$112,$B62&lt;RealEstate!O$111),0,RealEstate!O$109*(1+inflation+RealEstate!O$110)^$A62))</f>
        <v>EXPIRED</v>
      </c>
      <c r="O62" s="23" t="str">
        <f t="shared" ca="1" si="27"/>
        <v>EXPIRED</v>
      </c>
      <c r="P62" s="23" t="str">
        <f ca="1">IF(Message&lt;&gt;"",Message,IF($B62=RealEstate!O$111,N62*(1+$C$3),0)+IF(B62=RealEstate!O$112,-N62*(1-$C$2),0))</f>
        <v>EXPIRED</v>
      </c>
      <c r="Q62" s="53" t="str">
        <f ca="1">IF(Message&lt;&gt;"",Message,+IF(P62&lt;0,MAX(0,N62 - RealEstate!O$109*(1+RealEstate!O$110)^(MAX(age,RealEstate!O$111)-age)-Taxes!$B$11*$C62),0))</f>
        <v>EXPIRED</v>
      </c>
      <c r="R62" s="43" t="str">
        <f ca="1">IF(Message&lt;&gt;"",Message,IF(AND(P62&lt;=0,N62&gt;0),+N62*RealEstate!O$117,0))</f>
        <v>EXPIRED</v>
      </c>
      <c r="S62" s="23" t="str">
        <f ca="1">IF(Message&lt;&gt;"",Message,IF(AND(P62&lt;=0,N62&gt;0),+N62*RealEstate!O$118,0))</f>
        <v>EXPIRED</v>
      </c>
      <c r="T62" s="23" t="str">
        <f ca="1">IF(Message&lt;&gt;"",Message,IF(AND(P62&lt;=0,N62&gt;0),+RealEstate!O$119*$C62,0))</f>
        <v>EXPIRED</v>
      </c>
      <c r="U62" s="44" t="str">
        <f ca="1">IF(Message&lt;&gt;"",Message,IF(AND(P62&lt;=0,N62&gt;0),+RealEstate!O$120*$C62,0))</f>
        <v>EXPIRED</v>
      </c>
      <c r="V62" s="23" t="str">
        <f ca="1">IF(Message&lt;&gt;"",Message,+X61*RealEstate!O$115)</f>
        <v>EXPIRED</v>
      </c>
      <c r="W62" s="23" t="str">
        <f ca="1">IF(Message&lt;&gt;"",Message,+IF(P62&gt;0,-P62*RealEstate!O$113,IF(X61&lt;=0.1,0,IF(N63=0,X61,IF(W61&gt;0,SUM(V61:W61)-V62,X61/100000*O$116-V62)))))</f>
        <v>EXPIRED</v>
      </c>
      <c r="X62" s="44" t="str">
        <f ca="1">IF(Message&lt;&gt;"",Message,+IF(P62&gt;0,P62*RealEstate!O$113,X61-W62))</f>
        <v>EXPIRED</v>
      </c>
      <c r="Y62" s="20" t="str">
        <f t="shared" ca="1" si="28"/>
        <v>EXPIRED</v>
      </c>
      <c r="Z62" s="40"/>
      <c r="AA62" s="20" t="str">
        <f ca="1">IF(Message&lt;&gt;"",Message,IF(OR($B62&gt;RealEstate!AB$112,$B62&lt;RealEstate!AB$111),0,RealEstate!AB$109*(1+inflation+RealEstate!AB$110)^$A62))</f>
        <v>EXPIRED</v>
      </c>
      <c r="AB62" s="23" t="str">
        <f t="shared" ca="1" si="29"/>
        <v>EXPIRED</v>
      </c>
      <c r="AC62" s="23" t="str">
        <f ca="1">IF(Message&lt;&gt;"",Message,IF($B62=RealEstate!AB$111,AA62*(1+$C$3),0)+IF(O62=RealEstate!AB$112,-AA62*(1-$C$2),0))</f>
        <v>EXPIRED</v>
      </c>
      <c r="AD62" s="53" t="str">
        <f ca="1">IF(Message&lt;&gt;"",Message,+IF(AC62&lt;0,MAX(0,AA62 - RealEstate!AB$109*(1+RealEstate!AB$110)^(MAX(age,RealEstate!AB$111)-age)-Taxes!$B$11*$C62),0))</f>
        <v>EXPIRED</v>
      </c>
      <c r="AE62" s="43" t="str">
        <f ca="1">IF(Message&lt;&gt;"",Message,IF(AND(AC62&lt;=0,AA62&gt;0),+AA62*RealEstate!AB$117,0))</f>
        <v>EXPIRED</v>
      </c>
      <c r="AF62" s="23" t="str">
        <f ca="1">IF(Message&lt;&gt;"",Message,IF(AND(AC62&lt;=0,AA62&gt;0),+AA62*RealEstate!AB$118,0))</f>
        <v>EXPIRED</v>
      </c>
      <c r="AG62" s="23" t="str">
        <f ca="1">IF(Message&lt;&gt;"",Message,IF(AND(AC62&lt;=0,AA62&gt;0),+RealEstate!AB$119*$C62,0))</f>
        <v>EXPIRED</v>
      </c>
      <c r="AH62" s="44" t="str">
        <f ca="1">IF(Message&lt;&gt;"",Message,IF(AND(AC62&lt;=0,AA62&gt;0),+RealEstate!AB$120*$C62,0))</f>
        <v>EXPIRED</v>
      </c>
      <c r="AI62" s="23" t="str">
        <f ca="1">IF(Message&lt;&gt;"",Message,+AK61*RealEstate!AB$115)</f>
        <v>EXPIRED</v>
      </c>
      <c r="AJ62" s="23" t="str">
        <f ca="1">IF(Message&lt;&gt;"",Message,+IF(AC62&gt;0,-AC62*RealEstate!AB$113,IF(AK61&lt;=0.1,0,IF(AA63=0,AK61,IF(AJ61&gt;0,SUM(AI61:AJ61)-AI62,AK61/100000*AB$116-AI62)))))</f>
        <v>EXPIRED</v>
      </c>
      <c r="AK62" s="44" t="str">
        <f ca="1">IF(Message&lt;&gt;"",Message,+IF(AC62&gt;0,AC62*RealEstate!AB$113,AK61-AJ62))</f>
        <v>EXPIRED</v>
      </c>
      <c r="AL62" s="20" t="str">
        <f t="shared" ca="1" si="30"/>
        <v>EXPIRED</v>
      </c>
      <c r="AM62" s="40"/>
    </row>
    <row r="63" spans="1:39" x14ac:dyDescent="0.25">
      <c r="A63" s="14">
        <f t="shared" si="31"/>
        <v>58</v>
      </c>
      <c r="B63" s="14">
        <f t="shared" si="31"/>
        <v>98</v>
      </c>
      <c r="C63" s="38">
        <f t="shared" si="20"/>
        <v>3.1536243640574875</v>
      </c>
      <c r="E63" s="23">
        <f t="shared" ca="1" si="21"/>
        <v>0</v>
      </c>
      <c r="F63" s="20">
        <f t="shared" ca="1" si="12"/>
        <v>0</v>
      </c>
      <c r="G63" s="20">
        <f t="shared" ca="1" si="13"/>
        <v>0</v>
      </c>
      <c r="H63" s="23">
        <f t="shared" ca="1" si="22"/>
        <v>0</v>
      </c>
      <c r="I63" s="20">
        <f t="shared" ca="1" si="23"/>
        <v>0</v>
      </c>
      <c r="J63" s="20">
        <f t="shared" ca="1" si="24"/>
        <v>0</v>
      </c>
      <c r="K63" s="23">
        <f t="shared" ca="1" si="19"/>
        <v>0</v>
      </c>
      <c r="L63" s="23">
        <f t="shared" ca="1" si="25"/>
        <v>0</v>
      </c>
      <c r="M63" s="40"/>
      <c r="N63" s="20" t="str">
        <f ca="1">IF(Message&lt;&gt;"",Message,IF(OR($B63&gt;RealEstate!O$112,$B63&lt;RealEstate!O$111),0,RealEstate!O$109*(1+inflation+RealEstate!O$110)^$A63))</f>
        <v>EXPIRED</v>
      </c>
      <c r="O63" s="23" t="str">
        <f t="shared" ca="1" si="27"/>
        <v>EXPIRED</v>
      </c>
      <c r="P63" s="23" t="str">
        <f ca="1">IF(Message&lt;&gt;"",Message,IF($B63=RealEstate!O$111,N63*(1+$C$3),0)+IF(B63=RealEstate!O$112,-N63*(1-$C$2),0))</f>
        <v>EXPIRED</v>
      </c>
      <c r="Q63" s="53" t="str">
        <f ca="1">IF(Message&lt;&gt;"",Message,+IF(P63&lt;0,MAX(0,N63 - RealEstate!O$109*(1+RealEstate!O$110)^(MAX(age,RealEstate!O$111)-age)-Taxes!$B$11*$C63),0))</f>
        <v>EXPIRED</v>
      </c>
      <c r="R63" s="43" t="str">
        <f ca="1">IF(Message&lt;&gt;"",Message,IF(AND(P63&lt;=0,N63&gt;0),+N63*RealEstate!O$117,0))</f>
        <v>EXPIRED</v>
      </c>
      <c r="S63" s="23" t="str">
        <f ca="1">IF(Message&lt;&gt;"",Message,IF(AND(P63&lt;=0,N63&gt;0),+N63*RealEstate!O$118,0))</f>
        <v>EXPIRED</v>
      </c>
      <c r="T63" s="23" t="str">
        <f ca="1">IF(Message&lt;&gt;"",Message,IF(AND(P63&lt;=0,N63&gt;0),+RealEstate!O$119*$C63,0))</f>
        <v>EXPIRED</v>
      </c>
      <c r="U63" s="44" t="str">
        <f ca="1">IF(Message&lt;&gt;"",Message,IF(AND(P63&lt;=0,N63&gt;0),+RealEstate!O$120*$C63,0))</f>
        <v>EXPIRED</v>
      </c>
      <c r="V63" s="23" t="str">
        <f ca="1">IF(Message&lt;&gt;"",Message,+X62*RealEstate!O$115)</f>
        <v>EXPIRED</v>
      </c>
      <c r="W63" s="23" t="str">
        <f ca="1">IF(Message&lt;&gt;"",Message,+IF(P63&gt;0,-P63*RealEstate!O$113,IF(X62&lt;=0.1,0,IF(N64=0,X62,IF(W62&gt;0,SUM(V62:W62)-V63,X62/100000*O$116-V63)))))</f>
        <v>EXPIRED</v>
      </c>
      <c r="X63" s="44" t="str">
        <f ca="1">IF(Message&lt;&gt;"",Message,+IF(P63&gt;0,P63*RealEstate!O$113,X62-W63))</f>
        <v>EXPIRED</v>
      </c>
      <c r="Y63" s="20" t="str">
        <f t="shared" ca="1" si="28"/>
        <v>EXPIRED</v>
      </c>
      <c r="Z63" s="40"/>
      <c r="AA63" s="20" t="str">
        <f ca="1">IF(Message&lt;&gt;"",Message,IF(OR($B63&gt;RealEstate!AB$112,$B63&lt;RealEstate!AB$111),0,RealEstate!AB$109*(1+inflation+RealEstate!AB$110)^$A63))</f>
        <v>EXPIRED</v>
      </c>
      <c r="AB63" s="23" t="str">
        <f t="shared" ca="1" si="29"/>
        <v>EXPIRED</v>
      </c>
      <c r="AC63" s="23" t="str">
        <f ca="1">IF(Message&lt;&gt;"",Message,IF($B63=RealEstate!AB$111,AA63*(1+$C$3),0)+IF(O63=RealEstate!AB$112,-AA63*(1-$C$2),0))</f>
        <v>EXPIRED</v>
      </c>
      <c r="AD63" s="53" t="str">
        <f ca="1">IF(Message&lt;&gt;"",Message,+IF(AC63&lt;0,MAX(0,AA63 - RealEstate!AB$109*(1+RealEstate!AB$110)^(MAX(age,RealEstate!AB$111)-age)-Taxes!$B$11*$C63),0))</f>
        <v>EXPIRED</v>
      </c>
      <c r="AE63" s="43" t="str">
        <f ca="1">IF(Message&lt;&gt;"",Message,IF(AND(AC63&lt;=0,AA63&gt;0),+AA63*RealEstate!AB$117,0))</f>
        <v>EXPIRED</v>
      </c>
      <c r="AF63" s="23" t="str">
        <f ca="1">IF(Message&lt;&gt;"",Message,IF(AND(AC63&lt;=0,AA63&gt;0),+AA63*RealEstate!AB$118,0))</f>
        <v>EXPIRED</v>
      </c>
      <c r="AG63" s="23" t="str">
        <f ca="1">IF(Message&lt;&gt;"",Message,IF(AND(AC63&lt;=0,AA63&gt;0),+RealEstate!AB$119*$C63,0))</f>
        <v>EXPIRED</v>
      </c>
      <c r="AH63" s="44" t="str">
        <f ca="1">IF(Message&lt;&gt;"",Message,IF(AND(AC63&lt;=0,AA63&gt;0),+RealEstate!AB$120*$C63,0))</f>
        <v>EXPIRED</v>
      </c>
      <c r="AI63" s="23" t="str">
        <f ca="1">IF(Message&lt;&gt;"",Message,+AK62*RealEstate!AB$115)</f>
        <v>EXPIRED</v>
      </c>
      <c r="AJ63" s="23" t="str">
        <f ca="1">IF(Message&lt;&gt;"",Message,+IF(AC63&gt;0,-AC63*RealEstate!AB$113,IF(AK62&lt;=0.1,0,IF(AA64=0,AK62,IF(AJ62&gt;0,SUM(AI62:AJ62)-AI63,AK62/100000*AB$116-AI63)))))</f>
        <v>EXPIRED</v>
      </c>
      <c r="AK63" s="44" t="str">
        <f ca="1">IF(Message&lt;&gt;"",Message,+IF(AC63&gt;0,AC63*RealEstate!AB$113,AK62-AJ63))</f>
        <v>EXPIRED</v>
      </c>
      <c r="AL63" s="20" t="str">
        <f t="shared" ca="1" si="30"/>
        <v>EXPIRED</v>
      </c>
      <c r="AM63" s="40"/>
    </row>
    <row r="64" spans="1:39" x14ac:dyDescent="0.25">
      <c r="A64" s="14">
        <f t="shared" si="31"/>
        <v>59</v>
      </c>
      <c r="B64" s="14">
        <f t="shared" si="31"/>
        <v>99</v>
      </c>
      <c r="C64" s="38">
        <f t="shared" si="20"/>
        <v>3.2166968513386367</v>
      </c>
      <c r="E64" s="23">
        <f t="shared" ca="1" si="21"/>
        <v>0</v>
      </c>
      <c r="F64" s="20">
        <f t="shared" ca="1" si="12"/>
        <v>0</v>
      </c>
      <c r="G64" s="20">
        <f t="shared" ca="1" si="13"/>
        <v>0</v>
      </c>
      <c r="H64" s="23">
        <f t="shared" ca="1" si="22"/>
        <v>0</v>
      </c>
      <c r="I64" s="20">
        <f t="shared" ca="1" si="23"/>
        <v>0</v>
      </c>
      <c r="J64" s="20">
        <f t="shared" ca="1" si="24"/>
        <v>0</v>
      </c>
      <c r="K64" s="23">
        <f t="shared" ca="1" si="19"/>
        <v>0</v>
      </c>
      <c r="L64" s="23">
        <f t="shared" ca="1" si="25"/>
        <v>0</v>
      </c>
      <c r="M64" s="40"/>
      <c r="N64" s="20" t="str">
        <f ca="1">IF(Message&lt;&gt;"",Message,IF(OR($B64&gt;RealEstate!O$112,$B64&lt;RealEstate!O$111),0,RealEstate!O$109*(1+inflation+RealEstate!O$110)^$A64))</f>
        <v>EXPIRED</v>
      </c>
      <c r="O64" s="23" t="str">
        <f t="shared" ca="1" si="27"/>
        <v>EXPIRED</v>
      </c>
      <c r="P64" s="23" t="str">
        <f ca="1">IF(Message&lt;&gt;"",Message,IF($B64=RealEstate!O$111,N64*(1+$C$3),0)+IF(B64=RealEstate!O$112,-N64*(1-$C$2),0))</f>
        <v>EXPIRED</v>
      </c>
      <c r="Q64" s="53" t="str">
        <f ca="1">IF(Message&lt;&gt;"",Message,+IF(P64&lt;0,MAX(0,N64 - RealEstate!O$109*(1+RealEstate!O$110)^(MAX(age,RealEstate!O$111)-age)-Taxes!$B$11*$C64),0))</f>
        <v>EXPIRED</v>
      </c>
      <c r="R64" s="43" t="str">
        <f ca="1">IF(Message&lt;&gt;"",Message,IF(AND(P64&lt;=0,N64&gt;0),+N64*RealEstate!O$117,0))</f>
        <v>EXPIRED</v>
      </c>
      <c r="S64" s="23" t="str">
        <f ca="1">IF(Message&lt;&gt;"",Message,IF(AND(P64&lt;=0,N64&gt;0),+N64*RealEstate!O$118,0))</f>
        <v>EXPIRED</v>
      </c>
      <c r="T64" s="23" t="str">
        <f ca="1">IF(Message&lt;&gt;"",Message,IF(AND(P64&lt;=0,N64&gt;0),+RealEstate!O$119*$C64,0))</f>
        <v>EXPIRED</v>
      </c>
      <c r="U64" s="44" t="str">
        <f ca="1">IF(Message&lt;&gt;"",Message,IF(AND(P64&lt;=0,N64&gt;0),+RealEstate!O$120*$C64,0))</f>
        <v>EXPIRED</v>
      </c>
      <c r="V64" s="23" t="str">
        <f ca="1">IF(Message&lt;&gt;"",Message,+X63*RealEstate!O$115)</f>
        <v>EXPIRED</v>
      </c>
      <c r="W64" s="23" t="str">
        <f ca="1">IF(Message&lt;&gt;"",Message,+IF(P64&gt;0,-P64*RealEstate!O$113,IF(X63&lt;=0.1,0,IF(N65=0,X63,IF(W63&gt;0,SUM(V63:W63)-V64,X63/100000*O$116-V64)))))</f>
        <v>EXPIRED</v>
      </c>
      <c r="X64" s="44" t="str">
        <f ca="1">IF(Message&lt;&gt;"",Message,+IF(P64&gt;0,P64*RealEstate!O$113,X63-W64))</f>
        <v>EXPIRED</v>
      </c>
      <c r="Y64" s="20" t="str">
        <f t="shared" ca="1" si="28"/>
        <v>EXPIRED</v>
      </c>
      <c r="Z64" s="40"/>
      <c r="AA64" s="20" t="str">
        <f ca="1">IF(Message&lt;&gt;"",Message,IF(OR($B64&gt;RealEstate!AB$112,$B64&lt;RealEstate!AB$111),0,RealEstate!AB$109*(1+inflation+RealEstate!AB$110)^$A64))</f>
        <v>EXPIRED</v>
      </c>
      <c r="AB64" s="23" t="str">
        <f t="shared" ca="1" si="29"/>
        <v>EXPIRED</v>
      </c>
      <c r="AC64" s="23" t="str">
        <f ca="1">IF(Message&lt;&gt;"",Message,IF($B64=RealEstate!AB$111,AA64*(1+$C$3),0)+IF(O64=RealEstate!AB$112,-AA64*(1-$C$2),0))</f>
        <v>EXPIRED</v>
      </c>
      <c r="AD64" s="53" t="str">
        <f ca="1">IF(Message&lt;&gt;"",Message,+IF(AC64&lt;0,MAX(0,AA64 - RealEstate!AB$109*(1+RealEstate!AB$110)^(MAX(age,RealEstate!AB$111)-age)-Taxes!$B$11*$C64),0))</f>
        <v>EXPIRED</v>
      </c>
      <c r="AE64" s="43" t="str">
        <f ca="1">IF(Message&lt;&gt;"",Message,IF(AND(AC64&lt;=0,AA64&gt;0),+AA64*RealEstate!AB$117,0))</f>
        <v>EXPIRED</v>
      </c>
      <c r="AF64" s="23" t="str">
        <f ca="1">IF(Message&lt;&gt;"",Message,IF(AND(AC64&lt;=0,AA64&gt;0),+AA64*RealEstate!AB$118,0))</f>
        <v>EXPIRED</v>
      </c>
      <c r="AG64" s="23" t="str">
        <f ca="1">IF(Message&lt;&gt;"",Message,IF(AND(AC64&lt;=0,AA64&gt;0),+RealEstate!AB$119*$C64,0))</f>
        <v>EXPIRED</v>
      </c>
      <c r="AH64" s="44" t="str">
        <f ca="1">IF(Message&lt;&gt;"",Message,IF(AND(AC64&lt;=0,AA64&gt;0),+RealEstate!AB$120*$C64,0))</f>
        <v>EXPIRED</v>
      </c>
      <c r="AI64" s="23" t="str">
        <f ca="1">IF(Message&lt;&gt;"",Message,+AK63*RealEstate!AB$115)</f>
        <v>EXPIRED</v>
      </c>
      <c r="AJ64" s="23" t="str">
        <f ca="1">IF(Message&lt;&gt;"",Message,+IF(AC64&gt;0,-AC64*RealEstate!AB$113,IF(AK63&lt;=0.1,0,IF(AA65=0,AK63,IF(AJ63&gt;0,SUM(AI63:AJ63)-AI64,AK63/100000*AB$116-AI64)))))</f>
        <v>EXPIRED</v>
      </c>
      <c r="AK64" s="44" t="str">
        <f ca="1">IF(Message&lt;&gt;"",Message,+IF(AC64&gt;0,AC64*RealEstate!AB$113,AK63-AJ64))</f>
        <v>EXPIRED</v>
      </c>
      <c r="AL64" s="20" t="str">
        <f t="shared" ca="1" si="30"/>
        <v>EXPIRED</v>
      </c>
      <c r="AM64" s="40"/>
    </row>
    <row r="65" spans="1:39" x14ac:dyDescent="0.25">
      <c r="A65" s="14">
        <f t="shared" si="31"/>
        <v>60</v>
      </c>
      <c r="B65" s="14">
        <f t="shared" si="31"/>
        <v>100</v>
      </c>
      <c r="C65" s="38">
        <f t="shared" si="20"/>
        <v>3.2810307883654102</v>
      </c>
      <c r="E65" s="23">
        <f t="shared" ca="1" si="21"/>
        <v>0</v>
      </c>
      <c r="F65" s="20">
        <f t="shared" ca="1" si="12"/>
        <v>0</v>
      </c>
      <c r="G65" s="20">
        <f t="shared" ca="1" si="13"/>
        <v>0</v>
      </c>
      <c r="H65" s="23">
        <f t="shared" ca="1" si="22"/>
        <v>0</v>
      </c>
      <c r="I65" s="20">
        <f t="shared" ca="1" si="23"/>
        <v>0</v>
      </c>
      <c r="J65" s="20">
        <f t="shared" ca="1" si="24"/>
        <v>0</v>
      </c>
      <c r="K65" s="23">
        <f t="shared" ca="1" si="19"/>
        <v>0</v>
      </c>
      <c r="L65" s="23">
        <f t="shared" ca="1" si="25"/>
        <v>0</v>
      </c>
      <c r="M65" s="40"/>
      <c r="N65" s="20" t="str">
        <f ca="1">IF(Message&lt;&gt;"",Message,IF(OR($B65&gt;RealEstate!O$112,$B65&lt;RealEstate!O$111),0,RealEstate!O$109*(1+inflation+RealEstate!O$110)^$A65))</f>
        <v>EXPIRED</v>
      </c>
      <c r="O65" s="23" t="str">
        <f t="shared" ca="1" si="27"/>
        <v>EXPIRED</v>
      </c>
      <c r="P65" s="23" t="str">
        <f ca="1">IF(Message&lt;&gt;"",Message,IF($B65=RealEstate!O$111,N65*(1+$C$3),0)+IF(B65=RealEstate!O$112,-N65*(1-$C$2),0))</f>
        <v>EXPIRED</v>
      </c>
      <c r="Q65" s="53" t="str">
        <f ca="1">IF(Message&lt;&gt;"",Message,+IF(P65&lt;0,MAX(0,N65 - RealEstate!O$109*(1+RealEstate!O$110)^(MAX(age,RealEstate!O$111)-age)-Taxes!$B$11*$C65),0))</f>
        <v>EXPIRED</v>
      </c>
      <c r="R65" s="43" t="str">
        <f ca="1">IF(Message&lt;&gt;"",Message,IF(AND(P65&lt;=0,N65&gt;0),+N65*RealEstate!O$117,0))</f>
        <v>EXPIRED</v>
      </c>
      <c r="S65" s="23" t="str">
        <f ca="1">IF(Message&lt;&gt;"",Message,IF(AND(P65&lt;=0,N65&gt;0),+N65*RealEstate!O$118,0))</f>
        <v>EXPIRED</v>
      </c>
      <c r="T65" s="23" t="str">
        <f ca="1">IF(Message&lt;&gt;"",Message,IF(AND(P65&lt;=0,N65&gt;0),+RealEstate!O$119*$C65,0))</f>
        <v>EXPIRED</v>
      </c>
      <c r="U65" s="44" t="str">
        <f ca="1">IF(Message&lt;&gt;"",Message,IF(AND(P65&lt;=0,N65&gt;0),+RealEstate!O$120*$C65,0))</f>
        <v>EXPIRED</v>
      </c>
      <c r="V65" s="23" t="str">
        <f ca="1">IF(Message&lt;&gt;"",Message,+X64*RealEstate!O$115)</f>
        <v>EXPIRED</v>
      </c>
      <c r="W65" s="23" t="str">
        <f ca="1">IF(Message&lt;&gt;"",Message,+IF(P65&gt;0,-P65*RealEstate!O$113,IF(X64&lt;=0.1,0,IF(N66=0,X64,IF(W64&gt;0,SUM(V64:W64)-V65,X64/100000*O$116-V65)))))</f>
        <v>EXPIRED</v>
      </c>
      <c r="X65" s="44" t="str">
        <f ca="1">IF(Message&lt;&gt;"",Message,+IF(P65&gt;0,P65*RealEstate!O$113,X64-W65))</f>
        <v>EXPIRED</v>
      </c>
      <c r="Y65" s="20" t="str">
        <f t="shared" ca="1" si="28"/>
        <v>EXPIRED</v>
      </c>
      <c r="Z65" s="40"/>
      <c r="AA65" s="20" t="str">
        <f ca="1">IF(Message&lt;&gt;"",Message,IF(OR($B65&gt;RealEstate!AB$112,$B65&lt;RealEstate!AB$111),0,RealEstate!AB$109*(1+inflation+RealEstate!AB$110)^$A65))</f>
        <v>EXPIRED</v>
      </c>
      <c r="AB65" s="23" t="str">
        <f t="shared" ca="1" si="29"/>
        <v>EXPIRED</v>
      </c>
      <c r="AC65" s="23" t="str">
        <f ca="1">IF(Message&lt;&gt;"",Message,IF($B65=RealEstate!AB$111,AA65*(1+$C$3),0)+IF(O65=RealEstate!AB$112,-AA65*(1-$C$2),0))</f>
        <v>EXPIRED</v>
      </c>
      <c r="AD65" s="53" t="str">
        <f ca="1">IF(Message&lt;&gt;"",Message,+IF(AC65&lt;0,MAX(0,AA65 - RealEstate!AB$109*(1+RealEstate!AB$110)^(MAX(age,RealEstate!AB$111)-age)-Taxes!$B$11*$C65),0))</f>
        <v>EXPIRED</v>
      </c>
      <c r="AE65" s="43" t="str">
        <f ca="1">IF(Message&lt;&gt;"",Message,IF(AND(AC65&lt;=0,AA65&gt;0),+AA65*RealEstate!AB$117,0))</f>
        <v>EXPIRED</v>
      </c>
      <c r="AF65" s="23" t="str">
        <f ca="1">IF(Message&lt;&gt;"",Message,IF(AND(AC65&lt;=0,AA65&gt;0),+AA65*RealEstate!AB$118,0))</f>
        <v>EXPIRED</v>
      </c>
      <c r="AG65" s="23" t="str">
        <f ca="1">IF(Message&lt;&gt;"",Message,IF(AND(AC65&lt;=0,AA65&gt;0),+RealEstate!AB$119*$C65,0))</f>
        <v>EXPIRED</v>
      </c>
      <c r="AH65" s="44" t="str">
        <f ca="1">IF(Message&lt;&gt;"",Message,IF(AND(AC65&lt;=0,AA65&gt;0),+RealEstate!AB$120*$C65,0))</f>
        <v>EXPIRED</v>
      </c>
      <c r="AI65" s="23" t="str">
        <f ca="1">IF(Message&lt;&gt;"",Message,+AK64*RealEstate!AB$115)</f>
        <v>EXPIRED</v>
      </c>
      <c r="AJ65" s="23" t="str">
        <f ca="1">IF(Message&lt;&gt;"",Message,+IF(AC65&gt;0,-AC65*RealEstate!AB$113,IF(AK64&lt;=0.1,0,IF(AA66=0,AK64,IF(AJ64&gt;0,SUM(AI64:AJ64)-AI65,AK64/100000*AB$116-AI65)))))</f>
        <v>EXPIRED</v>
      </c>
      <c r="AK65" s="44" t="str">
        <f ca="1">IF(Message&lt;&gt;"",Message,+IF(AC65&gt;0,AC65*RealEstate!AB$113,AK64-AJ65))</f>
        <v>EXPIRED</v>
      </c>
      <c r="AL65" s="20" t="str">
        <f t="shared" ca="1" si="30"/>
        <v>EXPIRED</v>
      </c>
      <c r="AM65" s="40"/>
    </row>
    <row r="66" spans="1:39" x14ac:dyDescent="0.25">
      <c r="A66" s="14">
        <f t="shared" si="31"/>
        <v>61</v>
      </c>
      <c r="B66" s="14">
        <f t="shared" si="31"/>
        <v>101</v>
      </c>
      <c r="C66" s="38">
        <f t="shared" si="20"/>
        <v>3.346651404132718</v>
      </c>
      <c r="E66" s="23">
        <f t="shared" ca="1" si="21"/>
        <v>0</v>
      </c>
      <c r="F66" s="20">
        <f t="shared" ca="1" si="12"/>
        <v>0</v>
      </c>
      <c r="G66" s="20">
        <f t="shared" ca="1" si="13"/>
        <v>0</v>
      </c>
      <c r="H66" s="23">
        <f t="shared" ca="1" si="22"/>
        <v>0</v>
      </c>
      <c r="I66" s="20">
        <f t="shared" ca="1" si="23"/>
        <v>0</v>
      </c>
      <c r="J66" s="20">
        <f t="shared" ca="1" si="24"/>
        <v>0</v>
      </c>
      <c r="K66" s="23">
        <f t="shared" ca="1" si="19"/>
        <v>0</v>
      </c>
      <c r="L66" s="23">
        <f t="shared" ca="1" si="25"/>
        <v>0</v>
      </c>
      <c r="M66" s="40"/>
      <c r="N66" s="20" t="str">
        <f ca="1">IF(Message&lt;&gt;"",Message,IF(OR($B66&gt;RealEstate!O$112,$B66&lt;RealEstate!O$111),0,RealEstate!O$109*(1+inflation+RealEstate!O$110)^$A66))</f>
        <v>EXPIRED</v>
      </c>
      <c r="O66" s="23" t="str">
        <f t="shared" ca="1" si="27"/>
        <v>EXPIRED</v>
      </c>
      <c r="P66" s="23" t="str">
        <f ca="1">IF(Message&lt;&gt;"",Message,IF($B66=RealEstate!O$111,N66*(1+$C$3),0)+IF(B66=RealEstate!O$112,-N66*(1-$C$2),0))</f>
        <v>EXPIRED</v>
      </c>
      <c r="Q66" s="53" t="str">
        <f ca="1">IF(Message&lt;&gt;"",Message,+IF(P66&lt;0,MAX(0,N66 - RealEstate!O$109*(1+RealEstate!O$110)^(MAX(age,RealEstate!O$111)-age)-Taxes!$B$11*$C66),0))</f>
        <v>EXPIRED</v>
      </c>
      <c r="R66" s="43" t="str">
        <f ca="1">IF(Message&lt;&gt;"",Message,IF(AND(P66&lt;=0,N66&gt;0),+N66*RealEstate!O$117,0))</f>
        <v>EXPIRED</v>
      </c>
      <c r="S66" s="23" t="str">
        <f ca="1">IF(Message&lt;&gt;"",Message,IF(AND(P66&lt;=0,N66&gt;0),+N66*RealEstate!O$118,0))</f>
        <v>EXPIRED</v>
      </c>
      <c r="T66" s="23" t="str">
        <f ca="1">IF(Message&lt;&gt;"",Message,IF(AND(P66&lt;=0,N66&gt;0),+RealEstate!O$119*$C66,0))</f>
        <v>EXPIRED</v>
      </c>
      <c r="U66" s="44" t="str">
        <f ca="1">IF(Message&lt;&gt;"",Message,IF(AND(P66&lt;=0,N66&gt;0),+RealEstate!O$120*$C66,0))</f>
        <v>EXPIRED</v>
      </c>
      <c r="V66" s="23" t="str">
        <f ca="1">IF(Message&lt;&gt;"",Message,+X65*RealEstate!O$115)</f>
        <v>EXPIRED</v>
      </c>
      <c r="W66" s="23" t="str">
        <f ca="1">IF(Message&lt;&gt;"",Message,+IF(P66&gt;0,-P66*RealEstate!O$113,IF(X65&lt;=0.1,0,IF(N67=0,X65,IF(W65&gt;0,SUM(V65:W65)-V66,X65/100000*O$116-V66)))))</f>
        <v>EXPIRED</v>
      </c>
      <c r="X66" s="44" t="str">
        <f ca="1">IF(Message&lt;&gt;"",Message,+IF(P66&gt;0,P66*RealEstate!O$113,X65-W66))</f>
        <v>EXPIRED</v>
      </c>
      <c r="Y66" s="20" t="str">
        <f t="shared" ca="1" si="28"/>
        <v>EXPIRED</v>
      </c>
      <c r="Z66" s="40"/>
      <c r="AA66" s="20" t="str">
        <f ca="1">IF(Message&lt;&gt;"",Message,IF(OR($B66&gt;RealEstate!AB$112,$B66&lt;RealEstate!AB$111),0,RealEstate!AB$109*(1+inflation+RealEstate!AB$110)^$A66))</f>
        <v>EXPIRED</v>
      </c>
      <c r="AB66" s="23" t="str">
        <f t="shared" ca="1" si="29"/>
        <v>EXPIRED</v>
      </c>
      <c r="AC66" s="23" t="str">
        <f ca="1">IF(Message&lt;&gt;"",Message,IF($B66=RealEstate!AB$111,AA66*(1+$C$3),0)+IF(O66=RealEstate!AB$112,-AA66*(1-$C$2),0))</f>
        <v>EXPIRED</v>
      </c>
      <c r="AD66" s="53" t="str">
        <f ca="1">IF(Message&lt;&gt;"",Message,+IF(AC66&lt;0,MAX(0,AA66 - RealEstate!AB$109*(1+RealEstate!AB$110)^(MAX(age,RealEstate!AB$111)-age)-Taxes!$B$11*$C66),0))</f>
        <v>EXPIRED</v>
      </c>
      <c r="AE66" s="43" t="str">
        <f ca="1">IF(Message&lt;&gt;"",Message,IF(AND(AC66&lt;=0,AA66&gt;0),+AA66*RealEstate!AB$117,0))</f>
        <v>EXPIRED</v>
      </c>
      <c r="AF66" s="23" t="str">
        <f ca="1">IF(Message&lt;&gt;"",Message,IF(AND(AC66&lt;=0,AA66&gt;0),+AA66*RealEstate!AB$118,0))</f>
        <v>EXPIRED</v>
      </c>
      <c r="AG66" s="23" t="str">
        <f ca="1">IF(Message&lt;&gt;"",Message,IF(AND(AC66&lt;=0,AA66&gt;0),+RealEstate!AB$119*$C66,0))</f>
        <v>EXPIRED</v>
      </c>
      <c r="AH66" s="44" t="str">
        <f ca="1">IF(Message&lt;&gt;"",Message,IF(AND(AC66&lt;=0,AA66&gt;0),+RealEstate!AB$120*$C66,0))</f>
        <v>EXPIRED</v>
      </c>
      <c r="AI66" s="23" t="str">
        <f ca="1">IF(Message&lt;&gt;"",Message,+AK65*RealEstate!AB$115)</f>
        <v>EXPIRED</v>
      </c>
      <c r="AJ66" s="23" t="str">
        <f ca="1">IF(Message&lt;&gt;"",Message,+IF(AC66&gt;0,-AC66*RealEstate!AB$113,IF(AK65&lt;=0.1,0,IF(AA67=0,AK65,IF(AJ65&gt;0,SUM(AI65:AJ65)-AI66,AK65/100000*AB$116-AI66)))))</f>
        <v>EXPIRED</v>
      </c>
      <c r="AK66" s="44" t="str">
        <f ca="1">IF(Message&lt;&gt;"",Message,+IF(AC66&gt;0,AC66*RealEstate!AB$113,AK65-AJ66))</f>
        <v>EXPIRED</v>
      </c>
      <c r="AL66" s="20" t="str">
        <f t="shared" ca="1" si="30"/>
        <v>EXPIRED</v>
      </c>
      <c r="AM66" s="40"/>
    </row>
    <row r="67" spans="1:39" x14ac:dyDescent="0.25">
      <c r="A67" s="14">
        <f t="shared" si="31"/>
        <v>62</v>
      </c>
      <c r="B67" s="14">
        <f t="shared" si="31"/>
        <v>102</v>
      </c>
      <c r="C67" s="38">
        <f t="shared" si="20"/>
        <v>3.4135844322153726</v>
      </c>
      <c r="E67" s="23">
        <f t="shared" ca="1" si="21"/>
        <v>0</v>
      </c>
      <c r="F67" s="20">
        <f t="shared" ca="1" si="12"/>
        <v>0</v>
      </c>
      <c r="G67" s="20">
        <f t="shared" ca="1" si="13"/>
        <v>0</v>
      </c>
      <c r="H67" s="23">
        <f t="shared" ca="1" si="22"/>
        <v>0</v>
      </c>
      <c r="I67" s="20">
        <f t="shared" ca="1" si="23"/>
        <v>0</v>
      </c>
      <c r="J67" s="20">
        <f t="shared" ca="1" si="24"/>
        <v>0</v>
      </c>
      <c r="K67" s="23">
        <f t="shared" ca="1" si="19"/>
        <v>0</v>
      </c>
      <c r="L67" s="23">
        <f t="shared" ca="1" si="25"/>
        <v>0</v>
      </c>
      <c r="M67" s="40"/>
      <c r="N67" s="20" t="str">
        <f ca="1">IF(Message&lt;&gt;"",Message,IF(OR($B67&gt;RealEstate!O$112,$B67&lt;RealEstate!O$111),0,RealEstate!O$109*(1+inflation+RealEstate!O$110)^$A67))</f>
        <v>EXPIRED</v>
      </c>
      <c r="O67" s="23" t="str">
        <f t="shared" ca="1" si="27"/>
        <v>EXPIRED</v>
      </c>
      <c r="P67" s="23" t="str">
        <f ca="1">IF(Message&lt;&gt;"",Message,IF($B67=RealEstate!O$111,N67*(1+$C$3),0)+IF(B67=RealEstate!O$112,-N67*(1-$C$2),0))</f>
        <v>EXPIRED</v>
      </c>
      <c r="Q67" s="53" t="str">
        <f ca="1">IF(Message&lt;&gt;"",Message,+IF(P67&lt;0,MAX(0,N67 - RealEstate!O$109*(1+RealEstate!O$110)^(MAX(age,RealEstate!O$111)-age)-Taxes!$B$11*$C67),0))</f>
        <v>EXPIRED</v>
      </c>
      <c r="R67" s="43" t="str">
        <f ca="1">IF(Message&lt;&gt;"",Message,IF(AND(P67&lt;=0,N67&gt;0),+N67*RealEstate!O$117,0))</f>
        <v>EXPIRED</v>
      </c>
      <c r="S67" s="23" t="str">
        <f ca="1">IF(Message&lt;&gt;"",Message,IF(AND(P67&lt;=0,N67&gt;0),+N67*RealEstate!O$118,0))</f>
        <v>EXPIRED</v>
      </c>
      <c r="T67" s="23" t="str">
        <f ca="1">IF(Message&lt;&gt;"",Message,IF(AND(P67&lt;=0,N67&gt;0),+RealEstate!O$119*$C67,0))</f>
        <v>EXPIRED</v>
      </c>
      <c r="U67" s="44" t="str">
        <f ca="1">IF(Message&lt;&gt;"",Message,IF(AND(P67&lt;=0,N67&gt;0),+RealEstate!O$120*$C67,0))</f>
        <v>EXPIRED</v>
      </c>
      <c r="V67" s="23" t="str">
        <f ca="1">IF(Message&lt;&gt;"",Message,+X66*RealEstate!O$115)</f>
        <v>EXPIRED</v>
      </c>
      <c r="W67" s="23" t="str">
        <f ca="1">IF(Message&lt;&gt;"",Message,+IF(P67&gt;0,-P67*RealEstate!O$113,IF(X66&lt;=0.1,0,IF(N68=0,X66,IF(W66&gt;0,SUM(V66:W66)-V67,X66/100000*O$116-V67)))))</f>
        <v>EXPIRED</v>
      </c>
      <c r="X67" s="44" t="str">
        <f ca="1">IF(Message&lt;&gt;"",Message,+IF(P67&gt;0,P67*RealEstate!O$113,X66-W67))</f>
        <v>EXPIRED</v>
      </c>
      <c r="Y67" s="20" t="str">
        <f t="shared" ca="1" si="28"/>
        <v>EXPIRED</v>
      </c>
      <c r="Z67" s="40"/>
      <c r="AA67" s="20" t="str">
        <f ca="1">IF(Message&lt;&gt;"",Message,IF(OR($B67&gt;RealEstate!AB$112,$B67&lt;RealEstate!AB$111),0,RealEstate!AB$109*(1+inflation+RealEstate!AB$110)^$A67))</f>
        <v>EXPIRED</v>
      </c>
      <c r="AB67" s="23" t="str">
        <f t="shared" ca="1" si="29"/>
        <v>EXPIRED</v>
      </c>
      <c r="AC67" s="23" t="str">
        <f ca="1">IF(Message&lt;&gt;"",Message,IF($B67=RealEstate!AB$111,AA67*(1+$C$3),0)+IF(O67=RealEstate!AB$112,-AA67*(1-$C$2),0))</f>
        <v>EXPIRED</v>
      </c>
      <c r="AD67" s="53" t="str">
        <f ca="1">IF(Message&lt;&gt;"",Message,+IF(AC67&lt;0,MAX(0,AA67 - RealEstate!AB$109*(1+RealEstate!AB$110)^(MAX(age,RealEstate!AB$111)-age)-Taxes!$B$11*$C67),0))</f>
        <v>EXPIRED</v>
      </c>
      <c r="AE67" s="43" t="str">
        <f ca="1">IF(Message&lt;&gt;"",Message,IF(AND(AC67&lt;=0,AA67&gt;0),+AA67*RealEstate!AB$117,0))</f>
        <v>EXPIRED</v>
      </c>
      <c r="AF67" s="23" t="str">
        <f ca="1">IF(Message&lt;&gt;"",Message,IF(AND(AC67&lt;=0,AA67&gt;0),+AA67*RealEstate!AB$118,0))</f>
        <v>EXPIRED</v>
      </c>
      <c r="AG67" s="23" t="str">
        <f ca="1">IF(Message&lt;&gt;"",Message,IF(AND(AC67&lt;=0,AA67&gt;0),+RealEstate!AB$119*$C67,0))</f>
        <v>EXPIRED</v>
      </c>
      <c r="AH67" s="44" t="str">
        <f ca="1">IF(Message&lt;&gt;"",Message,IF(AND(AC67&lt;=0,AA67&gt;0),+RealEstate!AB$120*$C67,0))</f>
        <v>EXPIRED</v>
      </c>
      <c r="AI67" s="23" t="str">
        <f ca="1">IF(Message&lt;&gt;"",Message,+AK66*RealEstate!AB$115)</f>
        <v>EXPIRED</v>
      </c>
      <c r="AJ67" s="23" t="str">
        <f ca="1">IF(Message&lt;&gt;"",Message,+IF(AC67&gt;0,-AC67*RealEstate!AB$113,IF(AK66&lt;=0.1,0,IF(AA68=0,AK66,IF(AJ66&gt;0,SUM(AI66:AJ66)-AI67,AK66/100000*AB$116-AI67)))))</f>
        <v>EXPIRED</v>
      </c>
      <c r="AK67" s="44" t="str">
        <f ca="1">IF(Message&lt;&gt;"",Message,+IF(AC67&gt;0,AC67*RealEstate!AB$113,AK66-AJ67))</f>
        <v>EXPIRED</v>
      </c>
      <c r="AL67" s="20" t="str">
        <f t="shared" ca="1" si="30"/>
        <v>EXPIRED</v>
      </c>
      <c r="AM67" s="40"/>
    </row>
    <row r="68" spans="1:39" x14ac:dyDescent="0.25">
      <c r="A68" s="14">
        <f t="shared" si="31"/>
        <v>63</v>
      </c>
      <c r="B68" s="14">
        <f t="shared" si="31"/>
        <v>103</v>
      </c>
      <c r="C68" s="38">
        <f t="shared" si="20"/>
        <v>3.4818561208596792</v>
      </c>
      <c r="E68" s="23">
        <f t="shared" ca="1" si="21"/>
        <v>0</v>
      </c>
      <c r="F68" s="20">
        <f t="shared" ca="1" si="12"/>
        <v>0</v>
      </c>
      <c r="G68" s="20">
        <f t="shared" ca="1" si="13"/>
        <v>0</v>
      </c>
      <c r="H68" s="23">
        <f t="shared" ca="1" si="22"/>
        <v>0</v>
      </c>
      <c r="I68" s="20">
        <f t="shared" ca="1" si="23"/>
        <v>0</v>
      </c>
      <c r="J68" s="20">
        <f t="shared" ca="1" si="24"/>
        <v>0</v>
      </c>
      <c r="K68" s="23">
        <f t="shared" ca="1" si="19"/>
        <v>0</v>
      </c>
      <c r="L68" s="23">
        <f t="shared" ca="1" si="25"/>
        <v>0</v>
      </c>
      <c r="M68" s="40"/>
      <c r="N68" s="20" t="str">
        <f ca="1">IF(Message&lt;&gt;"",Message,IF(OR($B68&gt;RealEstate!O$112,$B68&lt;RealEstate!O$111),0,RealEstate!O$109*(1+inflation+RealEstate!O$110)^$A68))</f>
        <v>EXPIRED</v>
      </c>
      <c r="O68" s="23" t="str">
        <f t="shared" ca="1" si="27"/>
        <v>EXPIRED</v>
      </c>
      <c r="P68" s="23" t="str">
        <f ca="1">IF(Message&lt;&gt;"",Message,IF($B68=RealEstate!O$111,N68*(1+$C$3),0)+IF(B68=RealEstate!O$112,-N68*(1-$C$2),0))</f>
        <v>EXPIRED</v>
      </c>
      <c r="Q68" s="53" t="str">
        <f ca="1">IF(Message&lt;&gt;"",Message,+IF(P68&lt;0,MAX(0,N68 - RealEstate!O$109*(1+RealEstate!O$110)^(MAX(age,RealEstate!O$111)-age)-Taxes!$B$11*$C68),0))</f>
        <v>EXPIRED</v>
      </c>
      <c r="R68" s="43" t="str">
        <f ca="1">IF(Message&lt;&gt;"",Message,IF(AND(P68&lt;=0,N68&gt;0),+N68*RealEstate!O$117,0))</f>
        <v>EXPIRED</v>
      </c>
      <c r="S68" s="23" t="str">
        <f ca="1">IF(Message&lt;&gt;"",Message,IF(AND(P68&lt;=0,N68&gt;0),+N68*RealEstate!O$118,0))</f>
        <v>EXPIRED</v>
      </c>
      <c r="T68" s="23" t="str">
        <f ca="1">IF(Message&lt;&gt;"",Message,IF(AND(P68&lt;=0,N68&gt;0),+RealEstate!O$119*$C68,0))</f>
        <v>EXPIRED</v>
      </c>
      <c r="U68" s="44" t="str">
        <f ca="1">IF(Message&lt;&gt;"",Message,IF(AND(P68&lt;=0,N68&gt;0),+RealEstate!O$120*$C68,0))</f>
        <v>EXPIRED</v>
      </c>
      <c r="V68" s="23" t="str">
        <f ca="1">IF(Message&lt;&gt;"",Message,+X67*RealEstate!O$115)</f>
        <v>EXPIRED</v>
      </c>
      <c r="W68" s="23" t="str">
        <f ca="1">IF(Message&lt;&gt;"",Message,+IF(P68&gt;0,-P68*RealEstate!O$113,IF(X67&lt;=0.1,0,IF(N69=0,X67,IF(W67&gt;0,SUM(V67:W67)-V68,X67/100000*O$116-V68)))))</f>
        <v>EXPIRED</v>
      </c>
      <c r="X68" s="44" t="str">
        <f ca="1">IF(Message&lt;&gt;"",Message,+IF(P68&gt;0,P68*RealEstate!O$113,X67-W68))</f>
        <v>EXPIRED</v>
      </c>
      <c r="Y68" s="20" t="str">
        <f t="shared" ca="1" si="28"/>
        <v>EXPIRED</v>
      </c>
      <c r="Z68" s="40"/>
      <c r="AA68" s="20" t="str">
        <f ca="1">IF(Message&lt;&gt;"",Message,IF(OR($B68&gt;RealEstate!AB$112,$B68&lt;RealEstate!AB$111),0,RealEstate!AB$109*(1+inflation+RealEstate!AB$110)^$A68))</f>
        <v>EXPIRED</v>
      </c>
      <c r="AB68" s="23" t="str">
        <f t="shared" ca="1" si="29"/>
        <v>EXPIRED</v>
      </c>
      <c r="AC68" s="23" t="str">
        <f ca="1">IF(Message&lt;&gt;"",Message,IF($B68=RealEstate!AB$111,AA68*(1+$C$3),0)+IF(O68=RealEstate!AB$112,-AA68*(1-$C$2),0))</f>
        <v>EXPIRED</v>
      </c>
      <c r="AD68" s="53" t="str">
        <f ca="1">IF(Message&lt;&gt;"",Message,+IF(AC68&lt;0,MAX(0,AA68 - RealEstate!AB$109*(1+RealEstate!AB$110)^(MAX(age,RealEstate!AB$111)-age)-Taxes!$B$11*$C68),0))</f>
        <v>EXPIRED</v>
      </c>
      <c r="AE68" s="43" t="str">
        <f ca="1">IF(Message&lt;&gt;"",Message,IF(AND(AC68&lt;=0,AA68&gt;0),+AA68*RealEstate!AB$117,0))</f>
        <v>EXPIRED</v>
      </c>
      <c r="AF68" s="23" t="str">
        <f ca="1">IF(Message&lt;&gt;"",Message,IF(AND(AC68&lt;=0,AA68&gt;0),+AA68*RealEstate!AB$118,0))</f>
        <v>EXPIRED</v>
      </c>
      <c r="AG68" s="23" t="str">
        <f ca="1">IF(Message&lt;&gt;"",Message,IF(AND(AC68&lt;=0,AA68&gt;0),+RealEstate!AB$119*$C68,0))</f>
        <v>EXPIRED</v>
      </c>
      <c r="AH68" s="44" t="str">
        <f ca="1">IF(Message&lt;&gt;"",Message,IF(AND(AC68&lt;=0,AA68&gt;0),+RealEstate!AB$120*$C68,0))</f>
        <v>EXPIRED</v>
      </c>
      <c r="AI68" s="23" t="str">
        <f ca="1">IF(Message&lt;&gt;"",Message,+AK67*RealEstate!AB$115)</f>
        <v>EXPIRED</v>
      </c>
      <c r="AJ68" s="23" t="str">
        <f ca="1">IF(Message&lt;&gt;"",Message,+IF(AC68&gt;0,-AC68*RealEstate!AB$113,IF(AK67&lt;=0.1,0,IF(AA69=0,AK67,IF(AJ67&gt;0,SUM(AI67:AJ67)-AI68,AK67/100000*AB$116-AI68)))))</f>
        <v>EXPIRED</v>
      </c>
      <c r="AK68" s="44" t="str">
        <f ca="1">IF(Message&lt;&gt;"",Message,+IF(AC68&gt;0,AC68*RealEstate!AB$113,AK67-AJ68))</f>
        <v>EXPIRED</v>
      </c>
      <c r="AL68" s="20" t="str">
        <f t="shared" ca="1" si="30"/>
        <v>EXPIRED</v>
      </c>
      <c r="AM68" s="40"/>
    </row>
    <row r="69" spans="1:39" x14ac:dyDescent="0.25">
      <c r="A69" s="14">
        <f t="shared" si="31"/>
        <v>64</v>
      </c>
      <c r="B69" s="14">
        <f t="shared" si="31"/>
        <v>104</v>
      </c>
      <c r="C69" s="38">
        <f t="shared" ref="C69:C105" si="32">+(1+inflation)^A69</f>
        <v>3.5514932432768735</v>
      </c>
      <c r="E69" s="23">
        <f t="shared" ref="E69:E105" ca="1" si="33">+SUMIF($4:$4,"Equity",69:69)</f>
        <v>0</v>
      </c>
      <c r="F69" s="20">
        <f t="shared" ca="1" si="12"/>
        <v>0</v>
      </c>
      <c r="G69" s="20">
        <f t="shared" ca="1" si="13"/>
        <v>0</v>
      </c>
      <c r="H69" s="23">
        <f t="shared" ca="1" si="22"/>
        <v>0</v>
      </c>
      <c r="I69" s="20">
        <f t="shared" ca="1" si="23"/>
        <v>0</v>
      </c>
      <c r="J69" s="20">
        <f t="shared" ca="1" si="24"/>
        <v>0</v>
      </c>
      <c r="K69" s="23">
        <f t="shared" ca="1" si="19"/>
        <v>0</v>
      </c>
      <c r="L69" s="23">
        <f t="shared" ca="1" si="25"/>
        <v>0</v>
      </c>
      <c r="M69" s="40"/>
      <c r="N69" s="20" t="str">
        <f ca="1">IF(Message&lt;&gt;"",Message,IF(OR($B69&gt;RealEstate!O$112,$B69&lt;RealEstate!O$111),0,RealEstate!O$109*(1+inflation+RealEstate!O$110)^$A69))</f>
        <v>EXPIRED</v>
      </c>
      <c r="O69" s="23" t="str">
        <f t="shared" ca="1" si="27"/>
        <v>EXPIRED</v>
      </c>
      <c r="P69" s="23" t="str">
        <f ca="1">IF(Message&lt;&gt;"",Message,IF($B69=RealEstate!O$111,N69*(1+$C$3),0)+IF(B69=RealEstate!O$112,-N69*(1-$C$2),0))</f>
        <v>EXPIRED</v>
      </c>
      <c r="Q69" s="53" t="str">
        <f ca="1">IF(Message&lt;&gt;"",Message,+IF(P69&lt;0,MAX(0,N69 - RealEstate!O$109*(1+RealEstate!O$110)^(MAX(age,RealEstate!O$111)-age)-Taxes!$B$11*$C69),0))</f>
        <v>EXPIRED</v>
      </c>
      <c r="R69" s="43" t="str">
        <f ca="1">IF(Message&lt;&gt;"",Message,IF(AND(P69&lt;=0,N69&gt;0),+N69*RealEstate!O$117,0))</f>
        <v>EXPIRED</v>
      </c>
      <c r="S69" s="23" t="str">
        <f ca="1">IF(Message&lt;&gt;"",Message,IF(AND(P69&lt;=0,N69&gt;0),+N69*RealEstate!O$118,0))</f>
        <v>EXPIRED</v>
      </c>
      <c r="T69" s="23" t="str">
        <f ca="1">IF(Message&lt;&gt;"",Message,IF(AND(P69&lt;=0,N69&gt;0),+RealEstate!O$119*$C69,0))</f>
        <v>EXPIRED</v>
      </c>
      <c r="U69" s="44" t="str">
        <f ca="1">IF(Message&lt;&gt;"",Message,IF(AND(P69&lt;=0,N69&gt;0),+RealEstate!O$120*$C69,0))</f>
        <v>EXPIRED</v>
      </c>
      <c r="V69" s="23" t="str">
        <f ca="1">IF(Message&lt;&gt;"",Message,+X68*RealEstate!O$115)</f>
        <v>EXPIRED</v>
      </c>
      <c r="W69" s="23" t="str">
        <f ca="1">IF(Message&lt;&gt;"",Message,+IF(P69&gt;0,-P69*RealEstate!O$113,IF(X68&lt;=0.1,0,IF(N70=0,X68,IF(W68&gt;0,SUM(V68:W68)-V69,X68/100000*O$116-V69)))))</f>
        <v>EXPIRED</v>
      </c>
      <c r="X69" s="44" t="str">
        <f ca="1">IF(Message&lt;&gt;"",Message,+IF(P69&gt;0,P69*RealEstate!O$113,X68-W69))</f>
        <v>EXPIRED</v>
      </c>
      <c r="Y69" s="20" t="str">
        <f t="shared" ca="1" si="28"/>
        <v>EXPIRED</v>
      </c>
      <c r="Z69" s="40"/>
      <c r="AA69" s="20" t="str">
        <f ca="1">IF(Message&lt;&gt;"",Message,IF(OR($B69&gt;RealEstate!AB$112,$B69&lt;RealEstate!AB$111),0,RealEstate!AB$109*(1+inflation+RealEstate!AB$110)^$A69))</f>
        <v>EXPIRED</v>
      </c>
      <c r="AB69" s="23" t="str">
        <f t="shared" ca="1" si="29"/>
        <v>EXPIRED</v>
      </c>
      <c r="AC69" s="23" t="str">
        <f ca="1">IF(Message&lt;&gt;"",Message,IF($B69=RealEstate!AB$111,AA69*(1+$C$3),0)+IF(O69=RealEstate!AB$112,-AA69*(1-$C$2),0))</f>
        <v>EXPIRED</v>
      </c>
      <c r="AD69" s="53" t="str">
        <f ca="1">IF(Message&lt;&gt;"",Message,+IF(AC69&lt;0,MAX(0,AA69 - RealEstate!AB$109*(1+RealEstate!AB$110)^(MAX(age,RealEstate!AB$111)-age)-Taxes!$B$11*$C69),0))</f>
        <v>EXPIRED</v>
      </c>
      <c r="AE69" s="43" t="str">
        <f ca="1">IF(Message&lt;&gt;"",Message,IF(AND(AC69&lt;=0,AA69&gt;0),+AA69*RealEstate!AB$117,0))</f>
        <v>EXPIRED</v>
      </c>
      <c r="AF69" s="23" t="str">
        <f ca="1">IF(Message&lt;&gt;"",Message,IF(AND(AC69&lt;=0,AA69&gt;0),+AA69*RealEstate!AB$118,0))</f>
        <v>EXPIRED</v>
      </c>
      <c r="AG69" s="23" t="str">
        <f ca="1">IF(Message&lt;&gt;"",Message,IF(AND(AC69&lt;=0,AA69&gt;0),+RealEstate!AB$119*$C69,0))</f>
        <v>EXPIRED</v>
      </c>
      <c r="AH69" s="44" t="str">
        <f ca="1">IF(Message&lt;&gt;"",Message,IF(AND(AC69&lt;=0,AA69&gt;0),+RealEstate!AB$120*$C69,0))</f>
        <v>EXPIRED</v>
      </c>
      <c r="AI69" s="23" t="str">
        <f ca="1">IF(Message&lt;&gt;"",Message,+AK68*RealEstate!AB$115)</f>
        <v>EXPIRED</v>
      </c>
      <c r="AJ69" s="23" t="str">
        <f ca="1">IF(Message&lt;&gt;"",Message,+IF(AC69&gt;0,-AC69*RealEstate!AB$113,IF(AK68&lt;=0.1,0,IF(AA70=0,AK68,IF(AJ68&gt;0,SUM(AI68:AJ68)-AI69,AK68/100000*AB$116-AI69)))))</f>
        <v>EXPIRED</v>
      </c>
      <c r="AK69" s="44" t="str">
        <f ca="1">IF(Message&lt;&gt;"",Message,+IF(AC69&gt;0,AC69*RealEstate!AB$113,AK68-AJ69))</f>
        <v>EXPIRED</v>
      </c>
      <c r="AL69" s="20" t="str">
        <f t="shared" ca="1" si="30"/>
        <v>EXPIRED</v>
      </c>
      <c r="AM69" s="40"/>
    </row>
    <row r="70" spans="1:39" x14ac:dyDescent="0.25">
      <c r="A70" s="14">
        <f t="shared" si="31"/>
        <v>65</v>
      </c>
      <c r="B70" s="14">
        <f t="shared" si="31"/>
        <v>105</v>
      </c>
      <c r="C70" s="38">
        <f t="shared" si="32"/>
        <v>3.6225231081424112</v>
      </c>
      <c r="E70" s="23">
        <f t="shared" ca="1" si="33"/>
        <v>0</v>
      </c>
      <c r="F70" s="20">
        <f t="shared" ca="1" si="12"/>
        <v>0</v>
      </c>
      <c r="G70" s="20">
        <f t="shared" ca="1" si="13"/>
        <v>0</v>
      </c>
      <c r="H70" s="23">
        <f t="shared" ref="H70:H105" ca="1" si="34">+SUMIF($4:$4,"Property Tax",70:70)</f>
        <v>0</v>
      </c>
      <c r="I70" s="20">
        <f t="shared" ref="I70:I105" ca="1" si="35">+SUMIF($4:$4,"Mortgage Interest",70:70)</f>
        <v>0</v>
      </c>
      <c r="J70" s="20">
        <f t="shared" ref="J70:J105" ca="1" si="36">+SUMIF($4:$4,"Mortgage Interest",70:70)+SUMIF($4:$4,"Mortgage Principal",70:70)</f>
        <v>0</v>
      </c>
      <c r="K70" s="23">
        <f t="shared" ca="1" si="19"/>
        <v>0</v>
      </c>
      <c r="L70" s="23">
        <f t="shared" ref="L70:L105" ca="1" si="37">+SUMIF($4:$4,"Net Cash Flow",70:70)</f>
        <v>0</v>
      </c>
      <c r="M70" s="40"/>
      <c r="N70" s="20" t="str">
        <f ca="1">IF(Message&lt;&gt;"",Message,IF(OR($B70&gt;RealEstate!O$112,$B70&lt;RealEstate!O$111),0,RealEstate!O$109*(1+inflation+RealEstate!O$110)^$A70))</f>
        <v>EXPIRED</v>
      </c>
      <c r="O70" s="23" t="str">
        <f t="shared" ca="1" si="27"/>
        <v>EXPIRED</v>
      </c>
      <c r="P70" s="23" t="str">
        <f ca="1">IF(Message&lt;&gt;"",Message,IF($B70=RealEstate!O$111,N70*(1+$C$3),0)+IF(B70=RealEstate!O$112,-N70*(1-$C$2),0))</f>
        <v>EXPIRED</v>
      </c>
      <c r="Q70" s="53" t="str">
        <f ca="1">IF(Message&lt;&gt;"",Message,+IF(P70&lt;0,MAX(0,N70 - RealEstate!O$109*(1+RealEstate!O$110)^(MAX(age,RealEstate!O$111)-age)-Taxes!$B$11*$C70),0))</f>
        <v>EXPIRED</v>
      </c>
      <c r="R70" s="43" t="str">
        <f ca="1">IF(Message&lt;&gt;"",Message,IF(AND(P70&lt;=0,N70&gt;0),+N70*RealEstate!O$117,0))</f>
        <v>EXPIRED</v>
      </c>
      <c r="S70" s="23" t="str">
        <f ca="1">IF(Message&lt;&gt;"",Message,IF(AND(P70&lt;=0,N70&gt;0),+N70*RealEstate!O$118,0))</f>
        <v>EXPIRED</v>
      </c>
      <c r="T70" s="23" t="str">
        <f ca="1">IF(Message&lt;&gt;"",Message,IF(AND(P70&lt;=0,N70&gt;0),+RealEstate!O$119*$C70,0))</f>
        <v>EXPIRED</v>
      </c>
      <c r="U70" s="44" t="str">
        <f ca="1">IF(Message&lt;&gt;"",Message,IF(AND(P70&lt;=0,N70&gt;0),+RealEstate!O$120*$C70,0))</f>
        <v>EXPIRED</v>
      </c>
      <c r="V70" s="23" t="str">
        <f ca="1">IF(Message&lt;&gt;"",Message,+X69*RealEstate!O$115)</f>
        <v>EXPIRED</v>
      </c>
      <c r="W70" s="23" t="str">
        <f ca="1">IF(Message&lt;&gt;"",Message,+IF(P70&gt;0,-P70*RealEstate!O$113,IF(X69&lt;=0.1,0,IF(N71=0,X69,IF(W69&gt;0,SUM(V69:W69)-V70,X69/100000*O$116-V70)))))</f>
        <v>EXPIRED</v>
      </c>
      <c r="X70" s="44" t="str">
        <f ca="1">IF(Message&lt;&gt;"",Message,+IF(P70&gt;0,P70*RealEstate!O$113,X69-W70))</f>
        <v>EXPIRED</v>
      </c>
      <c r="Y70" s="20" t="str">
        <f t="shared" ca="1" si="28"/>
        <v>EXPIRED</v>
      </c>
      <c r="Z70" s="40"/>
      <c r="AA70" s="20" t="str">
        <f ca="1">IF(Message&lt;&gt;"",Message,IF(OR($B70&gt;RealEstate!AB$112,$B70&lt;RealEstate!AB$111),0,RealEstate!AB$109*(1+inflation+RealEstate!AB$110)^$A70))</f>
        <v>EXPIRED</v>
      </c>
      <c r="AB70" s="23" t="str">
        <f t="shared" ca="1" si="29"/>
        <v>EXPIRED</v>
      </c>
      <c r="AC70" s="23" t="str">
        <f ca="1">IF(Message&lt;&gt;"",Message,IF($B70=RealEstate!AB$111,AA70*(1+$C$3),0)+IF(O70=RealEstate!AB$112,-AA70*(1-$C$2),0))</f>
        <v>EXPIRED</v>
      </c>
      <c r="AD70" s="53" t="str">
        <f ca="1">IF(Message&lt;&gt;"",Message,+IF(AC70&lt;0,MAX(0,AA70 - RealEstate!AB$109*(1+RealEstate!AB$110)^(MAX(age,RealEstate!AB$111)-age)-Taxes!$B$11*$C70),0))</f>
        <v>EXPIRED</v>
      </c>
      <c r="AE70" s="43" t="str">
        <f ca="1">IF(Message&lt;&gt;"",Message,IF(AND(AC70&lt;=0,AA70&gt;0),+AA70*RealEstate!AB$117,0))</f>
        <v>EXPIRED</v>
      </c>
      <c r="AF70" s="23" t="str">
        <f ca="1">IF(Message&lt;&gt;"",Message,IF(AND(AC70&lt;=0,AA70&gt;0),+AA70*RealEstate!AB$118,0))</f>
        <v>EXPIRED</v>
      </c>
      <c r="AG70" s="23" t="str">
        <f ca="1">IF(Message&lt;&gt;"",Message,IF(AND(AC70&lt;=0,AA70&gt;0),+RealEstate!AB$119*$C70,0))</f>
        <v>EXPIRED</v>
      </c>
      <c r="AH70" s="44" t="str">
        <f ca="1">IF(Message&lt;&gt;"",Message,IF(AND(AC70&lt;=0,AA70&gt;0),+RealEstate!AB$120*$C70,0))</f>
        <v>EXPIRED</v>
      </c>
      <c r="AI70" s="23" t="str">
        <f ca="1">IF(Message&lt;&gt;"",Message,+AK69*RealEstate!AB$115)</f>
        <v>EXPIRED</v>
      </c>
      <c r="AJ70" s="23" t="str">
        <f ca="1">IF(Message&lt;&gt;"",Message,+IF(AC70&gt;0,-AC70*RealEstate!AB$113,IF(AK69&lt;=0.1,0,IF(AA71=0,AK69,IF(AJ69&gt;0,SUM(AI69:AJ69)-AI70,AK69/100000*AB$116-AI70)))))</f>
        <v>EXPIRED</v>
      </c>
      <c r="AK70" s="44" t="str">
        <f ca="1">IF(Message&lt;&gt;"",Message,+IF(AC70&gt;0,AC70*RealEstate!AB$113,AK69-AJ70))</f>
        <v>EXPIRED</v>
      </c>
      <c r="AL70" s="20" t="str">
        <f t="shared" ca="1" si="30"/>
        <v>EXPIRED</v>
      </c>
      <c r="AM70" s="40"/>
    </row>
    <row r="71" spans="1:39" x14ac:dyDescent="0.25">
      <c r="A71" s="14">
        <f t="shared" ref="A71:B86" si="38">+A70+1</f>
        <v>66</v>
      </c>
      <c r="B71" s="14">
        <f t="shared" si="38"/>
        <v>106</v>
      </c>
      <c r="C71" s="38">
        <f t="shared" si="32"/>
        <v>3.6949735703052591</v>
      </c>
      <c r="E71" s="23">
        <f t="shared" ca="1" si="33"/>
        <v>0</v>
      </c>
      <c r="F71" s="20">
        <f t="shared" ref="F71:F105" ca="1" si="39">+SUMIF($4:$4,"Purchase &amp; Sale After Expenses",71:71)</f>
        <v>0</v>
      </c>
      <c r="G71" s="20">
        <f t="shared" ref="G71:G105" ca="1" si="40">+SUMIF($4:$4,"Taxable Capital Gain",71:71)</f>
        <v>0</v>
      </c>
      <c r="H71" s="23">
        <f t="shared" ca="1" si="34"/>
        <v>0</v>
      </c>
      <c r="I71" s="20">
        <f t="shared" ca="1" si="35"/>
        <v>0</v>
      </c>
      <c r="J71" s="20">
        <f t="shared" ca="1" si="36"/>
        <v>0</v>
      </c>
      <c r="K71" s="23">
        <f t="shared" ca="1" si="19"/>
        <v>0</v>
      </c>
      <c r="L71" s="23">
        <f t="shared" ca="1" si="37"/>
        <v>0</v>
      </c>
      <c r="M71" s="40"/>
      <c r="N71" s="20" t="str">
        <f ca="1">IF(Message&lt;&gt;"",Message,IF(OR($B71&gt;RealEstate!O$112,$B71&lt;RealEstate!O$111),0,RealEstate!O$109*(1+inflation+RealEstate!O$110)^$A71))</f>
        <v>EXPIRED</v>
      </c>
      <c r="O71" s="23" t="str">
        <f t="shared" ca="1" si="27"/>
        <v>EXPIRED</v>
      </c>
      <c r="P71" s="23" t="str">
        <f ca="1">IF(Message&lt;&gt;"",Message,IF($B71=RealEstate!O$111,N71*(1+$C$3),0)+IF(B71=RealEstate!O$112,-N71*(1-$C$2),0))</f>
        <v>EXPIRED</v>
      </c>
      <c r="Q71" s="53" t="str">
        <f ca="1">IF(Message&lt;&gt;"",Message,+IF(P71&lt;0,MAX(0,N71 - RealEstate!O$109*(1+RealEstate!O$110)^(MAX(age,RealEstate!O$111)-age)-Taxes!$B$11*$C71),0))</f>
        <v>EXPIRED</v>
      </c>
      <c r="R71" s="43" t="str">
        <f ca="1">IF(Message&lt;&gt;"",Message,IF(AND(P71&lt;=0,N71&gt;0),+N71*RealEstate!O$117,0))</f>
        <v>EXPIRED</v>
      </c>
      <c r="S71" s="23" t="str">
        <f ca="1">IF(Message&lt;&gt;"",Message,IF(AND(P71&lt;=0,N71&gt;0),+N71*RealEstate!O$118,0))</f>
        <v>EXPIRED</v>
      </c>
      <c r="T71" s="23" t="str">
        <f ca="1">IF(Message&lt;&gt;"",Message,IF(AND(P71&lt;=0,N71&gt;0),+RealEstate!O$119*$C71,0))</f>
        <v>EXPIRED</v>
      </c>
      <c r="U71" s="44" t="str">
        <f ca="1">IF(Message&lt;&gt;"",Message,IF(AND(P71&lt;=0,N71&gt;0),+RealEstate!O$120*$C71,0))</f>
        <v>EXPIRED</v>
      </c>
      <c r="V71" s="23" t="str">
        <f ca="1">IF(Message&lt;&gt;"",Message,+X70*RealEstate!O$115)</f>
        <v>EXPIRED</v>
      </c>
      <c r="W71" s="23" t="str">
        <f ca="1">IF(Message&lt;&gt;"",Message,+IF(P71&gt;0,-P71*RealEstate!O$113,IF(X70&lt;=0.1,0,IF(N72=0,X70,IF(W70&gt;0,SUM(V70:W70)-V71,X70/100000*O$116-V71)))))</f>
        <v>EXPIRED</v>
      </c>
      <c r="X71" s="44" t="str">
        <f ca="1">IF(Message&lt;&gt;"",Message,+IF(P71&gt;0,P71*RealEstate!O$113,X70-W71))</f>
        <v>EXPIRED</v>
      </c>
      <c r="Y71" s="20" t="str">
        <f t="shared" ca="1" si="28"/>
        <v>EXPIRED</v>
      </c>
      <c r="Z71" s="40"/>
      <c r="AA71" s="20" t="str">
        <f ca="1">IF(Message&lt;&gt;"",Message,IF(OR($B71&gt;RealEstate!AB$112,$B71&lt;RealEstate!AB$111),0,RealEstate!AB$109*(1+inflation+RealEstate!AB$110)^$A71))</f>
        <v>EXPIRED</v>
      </c>
      <c r="AB71" s="23" t="str">
        <f t="shared" ca="1" si="29"/>
        <v>EXPIRED</v>
      </c>
      <c r="AC71" s="23" t="str">
        <f ca="1">IF(Message&lt;&gt;"",Message,IF($B71=RealEstate!AB$111,AA71*(1+$C$3),0)+IF(O71=RealEstate!AB$112,-AA71*(1-$C$2),0))</f>
        <v>EXPIRED</v>
      </c>
      <c r="AD71" s="53" t="str">
        <f ca="1">IF(Message&lt;&gt;"",Message,+IF(AC71&lt;0,MAX(0,AA71 - RealEstate!AB$109*(1+RealEstate!AB$110)^(MAX(age,RealEstate!AB$111)-age)-Taxes!$B$11*$C71),0))</f>
        <v>EXPIRED</v>
      </c>
      <c r="AE71" s="43" t="str">
        <f ca="1">IF(Message&lt;&gt;"",Message,IF(AND(AC71&lt;=0,AA71&gt;0),+AA71*RealEstate!AB$117,0))</f>
        <v>EXPIRED</v>
      </c>
      <c r="AF71" s="23" t="str">
        <f ca="1">IF(Message&lt;&gt;"",Message,IF(AND(AC71&lt;=0,AA71&gt;0),+AA71*RealEstate!AB$118,0))</f>
        <v>EXPIRED</v>
      </c>
      <c r="AG71" s="23" t="str">
        <f ca="1">IF(Message&lt;&gt;"",Message,IF(AND(AC71&lt;=0,AA71&gt;0),+RealEstate!AB$119*$C71,0))</f>
        <v>EXPIRED</v>
      </c>
      <c r="AH71" s="44" t="str">
        <f ca="1">IF(Message&lt;&gt;"",Message,IF(AND(AC71&lt;=0,AA71&gt;0),+RealEstate!AB$120*$C71,0))</f>
        <v>EXPIRED</v>
      </c>
      <c r="AI71" s="23" t="str">
        <f ca="1">IF(Message&lt;&gt;"",Message,+AK70*RealEstate!AB$115)</f>
        <v>EXPIRED</v>
      </c>
      <c r="AJ71" s="23" t="str">
        <f ca="1">IF(Message&lt;&gt;"",Message,+IF(AC71&gt;0,-AC71*RealEstate!AB$113,IF(AK70&lt;=0.1,0,IF(AA72=0,AK70,IF(AJ70&gt;0,SUM(AI70:AJ70)-AI71,AK70/100000*AB$116-AI71)))))</f>
        <v>EXPIRED</v>
      </c>
      <c r="AK71" s="44" t="str">
        <f ca="1">IF(Message&lt;&gt;"",Message,+IF(AC71&gt;0,AC71*RealEstate!AB$113,AK70-AJ71))</f>
        <v>EXPIRED</v>
      </c>
      <c r="AL71" s="20" t="str">
        <f t="shared" ca="1" si="30"/>
        <v>EXPIRED</v>
      </c>
      <c r="AM71" s="40"/>
    </row>
    <row r="72" spans="1:39" x14ac:dyDescent="0.25">
      <c r="A72" s="14">
        <f t="shared" si="38"/>
        <v>67</v>
      </c>
      <c r="B72" s="14">
        <f t="shared" si="38"/>
        <v>107</v>
      </c>
      <c r="C72" s="38">
        <f t="shared" si="32"/>
        <v>3.7688730417113643</v>
      </c>
      <c r="E72" s="23">
        <f t="shared" ca="1" si="33"/>
        <v>0</v>
      </c>
      <c r="F72" s="20">
        <f t="shared" ca="1" si="39"/>
        <v>0</v>
      </c>
      <c r="G72" s="20">
        <f t="shared" ca="1" si="40"/>
        <v>0</v>
      </c>
      <c r="H72" s="23">
        <f t="shared" ca="1" si="34"/>
        <v>0</v>
      </c>
      <c r="I72" s="20">
        <f t="shared" ca="1" si="35"/>
        <v>0</v>
      </c>
      <c r="J72" s="20">
        <f t="shared" ca="1" si="36"/>
        <v>0</v>
      </c>
      <c r="K72" s="23">
        <f t="shared" ca="1" si="19"/>
        <v>0</v>
      </c>
      <c r="L72" s="23">
        <f t="shared" ca="1" si="37"/>
        <v>0</v>
      </c>
      <c r="M72" s="40"/>
      <c r="N72" s="20" t="str">
        <f ca="1">IF(Message&lt;&gt;"",Message,IF(OR($B72&gt;RealEstate!O$112,$B72&lt;RealEstate!O$111),0,RealEstate!O$109*(1+inflation+RealEstate!O$110)^$A72))</f>
        <v>EXPIRED</v>
      </c>
      <c r="O72" s="23" t="str">
        <f t="shared" ca="1" si="27"/>
        <v>EXPIRED</v>
      </c>
      <c r="P72" s="23" t="str">
        <f ca="1">IF(Message&lt;&gt;"",Message,IF($B72=RealEstate!O$111,N72*(1+$C$3),0)+IF(B72=RealEstate!O$112,-N72*(1-$C$2),0))</f>
        <v>EXPIRED</v>
      </c>
      <c r="Q72" s="53" t="str">
        <f ca="1">IF(Message&lt;&gt;"",Message,+IF(P72&lt;0,MAX(0,N72 - RealEstate!O$109*(1+RealEstate!O$110)^(MAX(age,RealEstate!O$111)-age)-Taxes!$B$11*$C72),0))</f>
        <v>EXPIRED</v>
      </c>
      <c r="R72" s="43" t="str">
        <f ca="1">IF(Message&lt;&gt;"",Message,IF(AND(P72&lt;=0,N72&gt;0),+N72*RealEstate!O$117,0))</f>
        <v>EXPIRED</v>
      </c>
      <c r="S72" s="23" t="str">
        <f ca="1">IF(Message&lt;&gt;"",Message,IF(AND(P72&lt;=0,N72&gt;0),+N72*RealEstate!O$118,0))</f>
        <v>EXPIRED</v>
      </c>
      <c r="T72" s="23" t="str">
        <f ca="1">IF(Message&lt;&gt;"",Message,IF(AND(P72&lt;=0,N72&gt;0),+RealEstate!O$119*$C72,0))</f>
        <v>EXPIRED</v>
      </c>
      <c r="U72" s="44" t="str">
        <f ca="1">IF(Message&lt;&gt;"",Message,IF(AND(P72&lt;=0,N72&gt;0),+RealEstate!O$120*$C72,0))</f>
        <v>EXPIRED</v>
      </c>
      <c r="V72" s="23" t="str">
        <f ca="1">IF(Message&lt;&gt;"",Message,+X71*RealEstate!O$115)</f>
        <v>EXPIRED</v>
      </c>
      <c r="W72" s="23" t="str">
        <f ca="1">IF(Message&lt;&gt;"",Message,+IF(P72&gt;0,-P72*RealEstate!O$113,IF(X71&lt;=0.1,0,IF(N73=0,X71,IF(W71&gt;0,SUM(V71:W71)-V72,X71/100000*O$116-V72)))))</f>
        <v>EXPIRED</v>
      </c>
      <c r="X72" s="44" t="str">
        <f ca="1">IF(Message&lt;&gt;"",Message,+IF(P72&gt;0,P72*RealEstate!O$113,X71-W72))</f>
        <v>EXPIRED</v>
      </c>
      <c r="Y72" s="20" t="str">
        <f t="shared" ca="1" si="28"/>
        <v>EXPIRED</v>
      </c>
      <c r="Z72" s="40"/>
      <c r="AA72" s="20" t="str">
        <f ca="1">IF(Message&lt;&gt;"",Message,IF(OR($B72&gt;RealEstate!AB$112,$B72&lt;RealEstate!AB$111),0,RealEstate!AB$109*(1+inflation+RealEstate!AB$110)^$A72))</f>
        <v>EXPIRED</v>
      </c>
      <c r="AB72" s="23" t="str">
        <f t="shared" ca="1" si="29"/>
        <v>EXPIRED</v>
      </c>
      <c r="AC72" s="23" t="str">
        <f ca="1">IF(Message&lt;&gt;"",Message,IF($B72=RealEstate!AB$111,AA72*(1+$C$3),0)+IF(O72=RealEstate!AB$112,-AA72*(1-$C$2),0))</f>
        <v>EXPIRED</v>
      </c>
      <c r="AD72" s="53" t="str">
        <f ca="1">IF(Message&lt;&gt;"",Message,+IF(AC72&lt;0,MAX(0,AA72 - RealEstate!AB$109*(1+RealEstate!AB$110)^(MAX(age,RealEstate!AB$111)-age)-Taxes!$B$11*$C72),0))</f>
        <v>EXPIRED</v>
      </c>
      <c r="AE72" s="43" t="str">
        <f ca="1">IF(Message&lt;&gt;"",Message,IF(AND(AC72&lt;=0,AA72&gt;0),+AA72*RealEstate!AB$117,0))</f>
        <v>EXPIRED</v>
      </c>
      <c r="AF72" s="23" t="str">
        <f ca="1">IF(Message&lt;&gt;"",Message,IF(AND(AC72&lt;=0,AA72&gt;0),+AA72*RealEstate!AB$118,0))</f>
        <v>EXPIRED</v>
      </c>
      <c r="AG72" s="23" t="str">
        <f ca="1">IF(Message&lt;&gt;"",Message,IF(AND(AC72&lt;=0,AA72&gt;0),+RealEstate!AB$119*$C72,0))</f>
        <v>EXPIRED</v>
      </c>
      <c r="AH72" s="44" t="str">
        <f ca="1">IF(Message&lt;&gt;"",Message,IF(AND(AC72&lt;=0,AA72&gt;0),+RealEstate!AB$120*$C72,0))</f>
        <v>EXPIRED</v>
      </c>
      <c r="AI72" s="23" t="str">
        <f ca="1">IF(Message&lt;&gt;"",Message,+AK71*RealEstate!AB$115)</f>
        <v>EXPIRED</v>
      </c>
      <c r="AJ72" s="23" t="str">
        <f ca="1">IF(Message&lt;&gt;"",Message,+IF(AC72&gt;0,-AC72*RealEstate!AB$113,IF(AK71&lt;=0.1,0,IF(AA73=0,AK71,IF(AJ71&gt;0,SUM(AI71:AJ71)-AI72,AK71/100000*AB$116-AI72)))))</f>
        <v>EXPIRED</v>
      </c>
      <c r="AK72" s="44" t="str">
        <f ca="1">IF(Message&lt;&gt;"",Message,+IF(AC72&gt;0,AC72*RealEstate!AB$113,AK71-AJ72))</f>
        <v>EXPIRED</v>
      </c>
      <c r="AL72" s="20" t="str">
        <f t="shared" ca="1" si="30"/>
        <v>EXPIRED</v>
      </c>
      <c r="AM72" s="40"/>
    </row>
    <row r="73" spans="1:39" x14ac:dyDescent="0.25">
      <c r="A73" s="14">
        <f t="shared" si="38"/>
        <v>68</v>
      </c>
      <c r="B73" s="14">
        <f t="shared" si="38"/>
        <v>108</v>
      </c>
      <c r="C73" s="38">
        <f t="shared" si="32"/>
        <v>3.8442505025455915</v>
      </c>
      <c r="E73" s="23">
        <f t="shared" ca="1" si="33"/>
        <v>0</v>
      </c>
      <c r="F73" s="20">
        <f t="shared" ca="1" si="39"/>
        <v>0</v>
      </c>
      <c r="G73" s="20">
        <f t="shared" ca="1" si="40"/>
        <v>0</v>
      </c>
      <c r="H73" s="23">
        <f t="shared" ca="1" si="34"/>
        <v>0</v>
      </c>
      <c r="I73" s="20">
        <f t="shared" ca="1" si="35"/>
        <v>0</v>
      </c>
      <c r="J73" s="20">
        <f t="shared" ca="1" si="36"/>
        <v>0</v>
      </c>
      <c r="K73" s="23">
        <f t="shared" ca="1" si="19"/>
        <v>0</v>
      </c>
      <c r="L73" s="23">
        <f t="shared" ca="1" si="37"/>
        <v>0</v>
      </c>
      <c r="M73" s="40"/>
      <c r="N73" s="20" t="str">
        <f ca="1">IF(Message&lt;&gt;"",Message,IF(OR($B73&gt;RealEstate!O$112,$B73&lt;RealEstate!O$111),0,RealEstate!O$109*(1+inflation+RealEstate!O$110)^$A73))</f>
        <v>EXPIRED</v>
      </c>
      <c r="O73" s="23" t="str">
        <f t="shared" ca="1" si="27"/>
        <v>EXPIRED</v>
      </c>
      <c r="P73" s="23" t="str">
        <f ca="1">IF(Message&lt;&gt;"",Message,IF($B73=RealEstate!O$111,N73*(1+$C$3),0)+IF(B73=RealEstate!O$112,-N73*(1-$C$2),0))</f>
        <v>EXPIRED</v>
      </c>
      <c r="Q73" s="53" t="str">
        <f ca="1">IF(Message&lt;&gt;"",Message,+IF(P73&lt;0,MAX(0,N73 - RealEstate!O$109*(1+RealEstate!O$110)^(MAX(age,RealEstate!O$111)-age)-Taxes!$B$11*$C73),0))</f>
        <v>EXPIRED</v>
      </c>
      <c r="R73" s="43" t="str">
        <f ca="1">IF(Message&lt;&gt;"",Message,IF(AND(P73&lt;=0,N73&gt;0),+N73*RealEstate!O$117,0))</f>
        <v>EXPIRED</v>
      </c>
      <c r="S73" s="23" t="str">
        <f ca="1">IF(Message&lt;&gt;"",Message,IF(AND(P73&lt;=0,N73&gt;0),+N73*RealEstate!O$118,0))</f>
        <v>EXPIRED</v>
      </c>
      <c r="T73" s="23" t="str">
        <f ca="1">IF(Message&lt;&gt;"",Message,IF(AND(P73&lt;=0,N73&gt;0),+RealEstate!O$119*$C73,0))</f>
        <v>EXPIRED</v>
      </c>
      <c r="U73" s="44" t="str">
        <f ca="1">IF(Message&lt;&gt;"",Message,IF(AND(P73&lt;=0,N73&gt;0),+RealEstate!O$120*$C73,0))</f>
        <v>EXPIRED</v>
      </c>
      <c r="V73" s="23" t="str">
        <f ca="1">IF(Message&lt;&gt;"",Message,+X72*RealEstate!O$115)</f>
        <v>EXPIRED</v>
      </c>
      <c r="W73" s="23" t="str">
        <f ca="1">IF(Message&lt;&gt;"",Message,+IF(P73&gt;0,-P73*RealEstate!O$113,IF(X72&lt;=0.1,0,IF(N74=0,X72,IF(W72&gt;0,SUM(V72:W72)-V73,X72/100000*O$116-V73)))))</f>
        <v>EXPIRED</v>
      </c>
      <c r="X73" s="44" t="str">
        <f ca="1">IF(Message&lt;&gt;"",Message,+IF(P73&gt;0,P73*RealEstate!O$113,X72-W73))</f>
        <v>EXPIRED</v>
      </c>
      <c r="Y73" s="20" t="str">
        <f t="shared" ca="1" si="28"/>
        <v>EXPIRED</v>
      </c>
      <c r="Z73" s="40"/>
      <c r="AA73" s="20" t="str">
        <f ca="1">IF(Message&lt;&gt;"",Message,IF(OR($B73&gt;RealEstate!AB$112,$B73&lt;RealEstate!AB$111),0,RealEstate!AB$109*(1+inflation+RealEstate!AB$110)^$A73))</f>
        <v>EXPIRED</v>
      </c>
      <c r="AB73" s="23" t="str">
        <f t="shared" ca="1" si="29"/>
        <v>EXPIRED</v>
      </c>
      <c r="AC73" s="23" t="str">
        <f ca="1">IF(Message&lt;&gt;"",Message,IF($B73=RealEstate!AB$111,AA73*(1+$C$3),0)+IF(O73=RealEstate!AB$112,-AA73*(1-$C$2),0))</f>
        <v>EXPIRED</v>
      </c>
      <c r="AD73" s="53" t="str">
        <f ca="1">IF(Message&lt;&gt;"",Message,+IF(AC73&lt;0,MAX(0,AA73 - RealEstate!AB$109*(1+RealEstate!AB$110)^(MAX(age,RealEstate!AB$111)-age)-Taxes!$B$11*$C73),0))</f>
        <v>EXPIRED</v>
      </c>
      <c r="AE73" s="43" t="str">
        <f ca="1">IF(Message&lt;&gt;"",Message,IF(AND(AC73&lt;=0,AA73&gt;0),+AA73*RealEstate!AB$117,0))</f>
        <v>EXPIRED</v>
      </c>
      <c r="AF73" s="23" t="str">
        <f ca="1">IF(Message&lt;&gt;"",Message,IF(AND(AC73&lt;=0,AA73&gt;0),+AA73*RealEstate!AB$118,0))</f>
        <v>EXPIRED</v>
      </c>
      <c r="AG73" s="23" t="str">
        <f ca="1">IF(Message&lt;&gt;"",Message,IF(AND(AC73&lt;=0,AA73&gt;0),+RealEstate!AB$119*$C73,0))</f>
        <v>EXPIRED</v>
      </c>
      <c r="AH73" s="44" t="str">
        <f ca="1">IF(Message&lt;&gt;"",Message,IF(AND(AC73&lt;=0,AA73&gt;0),+RealEstate!AB$120*$C73,0))</f>
        <v>EXPIRED</v>
      </c>
      <c r="AI73" s="23" t="str">
        <f ca="1">IF(Message&lt;&gt;"",Message,+AK72*RealEstate!AB$115)</f>
        <v>EXPIRED</v>
      </c>
      <c r="AJ73" s="23" t="str">
        <f ca="1">IF(Message&lt;&gt;"",Message,+IF(AC73&gt;0,-AC73*RealEstate!AB$113,IF(AK72&lt;=0.1,0,IF(AA74=0,AK72,IF(AJ72&gt;0,SUM(AI72:AJ72)-AI73,AK72/100000*AB$116-AI73)))))</f>
        <v>EXPIRED</v>
      </c>
      <c r="AK73" s="44" t="str">
        <f ca="1">IF(Message&lt;&gt;"",Message,+IF(AC73&gt;0,AC73*RealEstate!AB$113,AK72-AJ73))</f>
        <v>EXPIRED</v>
      </c>
      <c r="AL73" s="20" t="str">
        <f t="shared" ca="1" si="30"/>
        <v>EXPIRED</v>
      </c>
      <c r="AM73" s="40"/>
    </row>
    <row r="74" spans="1:39" x14ac:dyDescent="0.25">
      <c r="A74" s="14">
        <f t="shared" si="38"/>
        <v>69</v>
      </c>
      <c r="B74" s="14">
        <f t="shared" si="38"/>
        <v>109</v>
      </c>
      <c r="C74" s="38">
        <f t="shared" si="32"/>
        <v>3.9211355125965035</v>
      </c>
      <c r="E74" s="23">
        <f t="shared" ca="1" si="33"/>
        <v>0</v>
      </c>
      <c r="F74" s="20">
        <f t="shared" ca="1" si="39"/>
        <v>0</v>
      </c>
      <c r="G74" s="20">
        <f t="shared" ca="1" si="40"/>
        <v>0</v>
      </c>
      <c r="H74" s="23">
        <f t="shared" ca="1" si="34"/>
        <v>0</v>
      </c>
      <c r="I74" s="20">
        <f t="shared" ca="1" si="35"/>
        <v>0</v>
      </c>
      <c r="J74" s="20">
        <f t="shared" ca="1" si="36"/>
        <v>0</v>
      </c>
      <c r="K74" s="23">
        <f t="shared" ca="1" si="19"/>
        <v>0</v>
      </c>
      <c r="L74" s="23">
        <f t="shared" ca="1" si="37"/>
        <v>0</v>
      </c>
      <c r="M74" s="40"/>
      <c r="N74" s="20" t="str">
        <f ca="1">IF(Message&lt;&gt;"",Message,IF(OR($B74&gt;RealEstate!O$112,$B74&lt;RealEstate!O$111),0,RealEstate!O$109*(1+inflation+RealEstate!O$110)^$A74))</f>
        <v>EXPIRED</v>
      </c>
      <c r="O74" s="23" t="str">
        <f t="shared" ca="1" si="27"/>
        <v>EXPIRED</v>
      </c>
      <c r="P74" s="23" t="str">
        <f ca="1">IF(Message&lt;&gt;"",Message,IF($B74=RealEstate!O$111,N74*(1+$C$3),0)+IF(B74=RealEstate!O$112,-N74*(1-$C$2),0))</f>
        <v>EXPIRED</v>
      </c>
      <c r="Q74" s="53" t="str">
        <f ca="1">IF(Message&lt;&gt;"",Message,+IF(P74&lt;0,MAX(0,N74 - RealEstate!O$109*(1+RealEstate!O$110)^(MAX(age,RealEstate!O$111)-age)-Taxes!$B$11*$C74),0))</f>
        <v>EXPIRED</v>
      </c>
      <c r="R74" s="43" t="str">
        <f ca="1">IF(Message&lt;&gt;"",Message,IF(AND(P74&lt;=0,N74&gt;0),+N74*RealEstate!O$117,0))</f>
        <v>EXPIRED</v>
      </c>
      <c r="S74" s="23" t="str">
        <f ca="1">IF(Message&lt;&gt;"",Message,IF(AND(P74&lt;=0,N74&gt;0),+N74*RealEstate!O$118,0))</f>
        <v>EXPIRED</v>
      </c>
      <c r="T74" s="23" t="str">
        <f ca="1">IF(Message&lt;&gt;"",Message,IF(AND(P74&lt;=0,N74&gt;0),+RealEstate!O$119*$C74,0))</f>
        <v>EXPIRED</v>
      </c>
      <c r="U74" s="44" t="str">
        <f ca="1">IF(Message&lt;&gt;"",Message,IF(AND(P74&lt;=0,N74&gt;0),+RealEstate!O$120*$C74,0))</f>
        <v>EXPIRED</v>
      </c>
      <c r="V74" s="23" t="str">
        <f ca="1">IF(Message&lt;&gt;"",Message,+X73*RealEstate!O$115)</f>
        <v>EXPIRED</v>
      </c>
      <c r="W74" s="23" t="str">
        <f ca="1">IF(Message&lt;&gt;"",Message,+IF(P74&gt;0,-P74*RealEstate!O$113,IF(X73&lt;=0.1,0,IF(N75=0,X73,IF(W73&gt;0,SUM(V73:W73)-V74,X73/100000*O$116-V74)))))</f>
        <v>EXPIRED</v>
      </c>
      <c r="X74" s="44" t="str">
        <f ca="1">IF(Message&lt;&gt;"",Message,+IF(P74&gt;0,P74*RealEstate!O$113,X73-W74))</f>
        <v>EXPIRED</v>
      </c>
      <c r="Y74" s="20" t="str">
        <f t="shared" ca="1" si="28"/>
        <v>EXPIRED</v>
      </c>
      <c r="Z74" s="40"/>
      <c r="AA74" s="20" t="str">
        <f ca="1">IF(Message&lt;&gt;"",Message,IF(OR($B74&gt;RealEstate!AB$112,$B74&lt;RealEstate!AB$111),0,RealEstate!AB$109*(1+inflation+RealEstate!AB$110)^$A74))</f>
        <v>EXPIRED</v>
      </c>
      <c r="AB74" s="23" t="str">
        <f t="shared" ca="1" si="29"/>
        <v>EXPIRED</v>
      </c>
      <c r="AC74" s="23" t="str">
        <f ca="1">IF(Message&lt;&gt;"",Message,IF($B74=RealEstate!AB$111,AA74*(1+$C$3),0)+IF(O74=RealEstate!AB$112,-AA74*(1-$C$2),0))</f>
        <v>EXPIRED</v>
      </c>
      <c r="AD74" s="53" t="str">
        <f ca="1">IF(Message&lt;&gt;"",Message,+IF(AC74&lt;0,MAX(0,AA74 - RealEstate!AB$109*(1+RealEstate!AB$110)^(MAX(age,RealEstate!AB$111)-age)-Taxes!$B$11*$C74),0))</f>
        <v>EXPIRED</v>
      </c>
      <c r="AE74" s="43" t="str">
        <f ca="1">IF(Message&lt;&gt;"",Message,IF(AND(AC74&lt;=0,AA74&gt;0),+AA74*RealEstate!AB$117,0))</f>
        <v>EXPIRED</v>
      </c>
      <c r="AF74" s="23" t="str">
        <f ca="1">IF(Message&lt;&gt;"",Message,IF(AND(AC74&lt;=0,AA74&gt;0),+AA74*RealEstate!AB$118,0))</f>
        <v>EXPIRED</v>
      </c>
      <c r="AG74" s="23" t="str">
        <f ca="1">IF(Message&lt;&gt;"",Message,IF(AND(AC74&lt;=0,AA74&gt;0),+RealEstate!AB$119*$C74,0))</f>
        <v>EXPIRED</v>
      </c>
      <c r="AH74" s="44" t="str">
        <f ca="1">IF(Message&lt;&gt;"",Message,IF(AND(AC74&lt;=0,AA74&gt;0),+RealEstate!AB$120*$C74,0))</f>
        <v>EXPIRED</v>
      </c>
      <c r="AI74" s="23" t="str">
        <f ca="1">IF(Message&lt;&gt;"",Message,+AK73*RealEstate!AB$115)</f>
        <v>EXPIRED</v>
      </c>
      <c r="AJ74" s="23" t="str">
        <f ca="1">IF(Message&lt;&gt;"",Message,+IF(AC74&gt;0,-AC74*RealEstate!AB$113,IF(AK73&lt;=0.1,0,IF(AA75=0,AK73,IF(AJ73&gt;0,SUM(AI73:AJ73)-AI74,AK73/100000*AB$116-AI74)))))</f>
        <v>EXPIRED</v>
      </c>
      <c r="AK74" s="44" t="str">
        <f ca="1">IF(Message&lt;&gt;"",Message,+IF(AC74&gt;0,AC74*RealEstate!AB$113,AK73-AJ74))</f>
        <v>EXPIRED</v>
      </c>
      <c r="AL74" s="20" t="str">
        <f t="shared" ca="1" si="30"/>
        <v>EXPIRED</v>
      </c>
      <c r="AM74" s="40"/>
    </row>
    <row r="75" spans="1:39" x14ac:dyDescent="0.25">
      <c r="A75" s="14">
        <f t="shared" si="38"/>
        <v>70</v>
      </c>
      <c r="B75" s="14">
        <f t="shared" si="38"/>
        <v>110</v>
      </c>
      <c r="C75" s="38">
        <f t="shared" si="32"/>
        <v>3.9995582228484339</v>
      </c>
      <c r="E75" s="23">
        <f t="shared" ca="1" si="33"/>
        <v>0</v>
      </c>
      <c r="F75" s="20">
        <f t="shared" ca="1" si="39"/>
        <v>0</v>
      </c>
      <c r="G75" s="20">
        <f t="shared" ca="1" si="40"/>
        <v>0</v>
      </c>
      <c r="H75" s="23">
        <f t="shared" ca="1" si="34"/>
        <v>0</v>
      </c>
      <c r="I75" s="20">
        <f t="shared" ca="1" si="35"/>
        <v>0</v>
      </c>
      <c r="J75" s="20">
        <f t="shared" ca="1" si="36"/>
        <v>0</v>
      </c>
      <c r="K75" s="23">
        <f t="shared" ca="1" si="19"/>
        <v>0</v>
      </c>
      <c r="L75" s="23">
        <f t="shared" ca="1" si="37"/>
        <v>0</v>
      </c>
      <c r="M75" s="40"/>
      <c r="N75" s="20" t="str">
        <f ca="1">IF(Message&lt;&gt;"",Message,IF(OR($B75&gt;RealEstate!O$112,$B75&lt;RealEstate!O$111),0,RealEstate!O$109*(1+inflation+RealEstate!O$110)^$A75))</f>
        <v>EXPIRED</v>
      </c>
      <c r="O75" s="23" t="str">
        <f t="shared" ref="O75:O105" ca="1" si="41">IF(Message&lt;&gt;"",Message,IF(P75&lt;0,0,N75-X75))</f>
        <v>EXPIRED</v>
      </c>
      <c r="P75" s="23" t="str">
        <f ca="1">IF(Message&lt;&gt;"",Message,IF($B75=RealEstate!O$111,N75*(1+$C$3),0)+IF(B75=RealEstate!O$112,-N75*(1-$C$2),0))</f>
        <v>EXPIRED</v>
      </c>
      <c r="Q75" s="53" t="str">
        <f ca="1">IF(Message&lt;&gt;"",Message,+IF(P75&lt;0,MAX(0,N75 - RealEstate!O$109*(1+RealEstate!O$110)^(MAX(age,RealEstate!O$111)-age)-Taxes!$B$11*$C75),0))</f>
        <v>EXPIRED</v>
      </c>
      <c r="R75" s="43" t="str">
        <f ca="1">IF(Message&lt;&gt;"",Message,IF(AND(P75&lt;=0,N75&gt;0),+N75*RealEstate!O$117,0))</f>
        <v>EXPIRED</v>
      </c>
      <c r="S75" s="23" t="str">
        <f ca="1">IF(Message&lt;&gt;"",Message,IF(AND(P75&lt;=0,N75&gt;0),+N75*RealEstate!O$118,0))</f>
        <v>EXPIRED</v>
      </c>
      <c r="T75" s="23" t="str">
        <f ca="1">IF(Message&lt;&gt;"",Message,IF(AND(P75&lt;=0,N75&gt;0),+RealEstate!O$119*$C75,0))</f>
        <v>EXPIRED</v>
      </c>
      <c r="U75" s="44" t="str">
        <f ca="1">IF(Message&lt;&gt;"",Message,IF(AND(P75&lt;=0,N75&gt;0),+RealEstate!O$120*$C75,0))</f>
        <v>EXPIRED</v>
      </c>
      <c r="V75" s="23" t="str">
        <f ca="1">IF(Message&lt;&gt;"",Message,+X74*RealEstate!O$115)</f>
        <v>EXPIRED</v>
      </c>
      <c r="W75" s="23" t="str">
        <f ca="1">IF(Message&lt;&gt;"",Message,+IF(P75&gt;0,-P75*RealEstate!O$113,IF(X74&lt;=0.1,0,IF(N76=0,X74,IF(W74&gt;0,SUM(V74:W74)-V75,X74/100000*O$116-V75)))))</f>
        <v>EXPIRED</v>
      </c>
      <c r="X75" s="44" t="str">
        <f ca="1">IF(Message&lt;&gt;"",Message,+IF(P75&gt;0,P75*RealEstate!O$113,X74-W75))</f>
        <v>EXPIRED</v>
      </c>
      <c r="Y75" s="20" t="str">
        <f t="shared" ref="Y75:Y105" ca="1" si="42">IF(Message&lt;&gt;"",Message,-P75-SUM(V75:W75)-SUM(R75:U75))</f>
        <v>EXPIRED</v>
      </c>
      <c r="Z75" s="40"/>
      <c r="AA75" s="20" t="str">
        <f ca="1">IF(Message&lt;&gt;"",Message,IF(OR($B75&gt;RealEstate!AB$112,$B75&lt;RealEstate!AB$111),0,RealEstate!AB$109*(1+inflation+RealEstate!AB$110)^$A75))</f>
        <v>EXPIRED</v>
      </c>
      <c r="AB75" s="23" t="str">
        <f t="shared" ref="AB75:AB105" ca="1" si="43">IF(Message&lt;&gt;"",Message,IF(AC75&lt;0,0,AA75-AK75))</f>
        <v>EXPIRED</v>
      </c>
      <c r="AC75" s="23" t="str">
        <f ca="1">IF(Message&lt;&gt;"",Message,IF($B75=RealEstate!AB$111,AA75*(1+$C$3),0)+IF(O75=RealEstate!AB$112,-AA75*(1-$C$2),0))</f>
        <v>EXPIRED</v>
      </c>
      <c r="AD75" s="53" t="str">
        <f ca="1">IF(Message&lt;&gt;"",Message,+IF(AC75&lt;0,MAX(0,AA75 - RealEstate!AB$109*(1+RealEstate!AB$110)^(MAX(age,RealEstate!AB$111)-age)-Taxes!$B$11*$C75),0))</f>
        <v>EXPIRED</v>
      </c>
      <c r="AE75" s="43" t="str">
        <f ca="1">IF(Message&lt;&gt;"",Message,IF(AND(AC75&lt;=0,AA75&gt;0),+AA75*RealEstate!AB$117,0))</f>
        <v>EXPIRED</v>
      </c>
      <c r="AF75" s="23" t="str">
        <f ca="1">IF(Message&lt;&gt;"",Message,IF(AND(AC75&lt;=0,AA75&gt;0),+AA75*RealEstate!AB$118,0))</f>
        <v>EXPIRED</v>
      </c>
      <c r="AG75" s="23" t="str">
        <f ca="1">IF(Message&lt;&gt;"",Message,IF(AND(AC75&lt;=0,AA75&gt;0),+RealEstate!AB$119*$C75,0))</f>
        <v>EXPIRED</v>
      </c>
      <c r="AH75" s="44" t="str">
        <f ca="1">IF(Message&lt;&gt;"",Message,IF(AND(AC75&lt;=0,AA75&gt;0),+RealEstate!AB$120*$C75,0))</f>
        <v>EXPIRED</v>
      </c>
      <c r="AI75" s="23" t="str">
        <f ca="1">IF(Message&lt;&gt;"",Message,+AK74*RealEstate!AB$115)</f>
        <v>EXPIRED</v>
      </c>
      <c r="AJ75" s="23" t="str">
        <f ca="1">IF(Message&lt;&gt;"",Message,+IF(AC75&gt;0,-AC75*RealEstate!AB$113,IF(AK74&lt;=0.1,0,IF(AA76=0,AK74,IF(AJ74&gt;0,SUM(AI74:AJ74)-AI75,AK74/100000*AB$116-AI75)))))</f>
        <v>EXPIRED</v>
      </c>
      <c r="AK75" s="44" t="str">
        <f ca="1">IF(Message&lt;&gt;"",Message,+IF(AC75&gt;0,AC75*RealEstate!AB$113,AK74-AJ75))</f>
        <v>EXPIRED</v>
      </c>
      <c r="AL75" s="20" t="str">
        <f t="shared" ref="AL75:AL105" ca="1" si="44">IF(Message&lt;&gt;"",Message,-AC75-SUM(AI75:AJ75)-SUM(AE75:AH75))</f>
        <v>EXPIRED</v>
      </c>
      <c r="AM75" s="40"/>
    </row>
    <row r="76" spans="1:39" x14ac:dyDescent="0.25">
      <c r="A76" s="14">
        <f t="shared" si="38"/>
        <v>71</v>
      </c>
      <c r="B76" s="14">
        <f t="shared" si="38"/>
        <v>111</v>
      </c>
      <c r="C76" s="38">
        <f t="shared" si="32"/>
        <v>4.0795493873054021</v>
      </c>
      <c r="E76" s="23">
        <f t="shared" ca="1" si="33"/>
        <v>0</v>
      </c>
      <c r="F76" s="20">
        <f t="shared" ca="1" si="39"/>
        <v>0</v>
      </c>
      <c r="G76" s="20">
        <f t="shared" ca="1" si="40"/>
        <v>0</v>
      </c>
      <c r="H76" s="23">
        <f t="shared" ca="1" si="34"/>
        <v>0</v>
      </c>
      <c r="I76" s="20">
        <f t="shared" ca="1" si="35"/>
        <v>0</v>
      </c>
      <c r="J76" s="20">
        <f t="shared" ca="1" si="36"/>
        <v>0</v>
      </c>
      <c r="K76" s="23">
        <f t="shared" ca="1" si="19"/>
        <v>0</v>
      </c>
      <c r="L76" s="23">
        <f t="shared" ca="1" si="37"/>
        <v>0</v>
      </c>
      <c r="M76" s="40"/>
      <c r="N76" s="20" t="str">
        <f ca="1">IF(Message&lt;&gt;"",Message,IF(OR($B76&gt;RealEstate!O$112,$B76&lt;RealEstate!O$111),0,RealEstate!O$109*(1+inflation+RealEstate!O$110)^$A76))</f>
        <v>EXPIRED</v>
      </c>
      <c r="O76" s="23" t="str">
        <f t="shared" ca="1" si="41"/>
        <v>EXPIRED</v>
      </c>
      <c r="P76" s="23" t="str">
        <f ca="1">IF(Message&lt;&gt;"",Message,IF($B76=RealEstate!O$111,N76*(1+$C$3),0)+IF(B76=RealEstate!O$112,-N76*(1-$C$2),0))</f>
        <v>EXPIRED</v>
      </c>
      <c r="Q76" s="53" t="str">
        <f ca="1">IF(Message&lt;&gt;"",Message,+IF(P76&lt;0,MAX(0,N76 - RealEstate!O$109*(1+RealEstate!O$110)^(MAX(age,RealEstate!O$111)-age)-Taxes!$B$11*$C76),0))</f>
        <v>EXPIRED</v>
      </c>
      <c r="R76" s="43" t="str">
        <f ca="1">IF(Message&lt;&gt;"",Message,IF(AND(P76&lt;=0,N76&gt;0),+N76*RealEstate!O$117,0))</f>
        <v>EXPIRED</v>
      </c>
      <c r="S76" s="23" t="str">
        <f ca="1">IF(Message&lt;&gt;"",Message,IF(AND(P76&lt;=0,N76&gt;0),+N76*RealEstate!O$118,0))</f>
        <v>EXPIRED</v>
      </c>
      <c r="T76" s="23" t="str">
        <f ca="1">IF(Message&lt;&gt;"",Message,IF(AND(P76&lt;=0,N76&gt;0),+RealEstate!O$119*$C76,0))</f>
        <v>EXPIRED</v>
      </c>
      <c r="U76" s="44" t="str">
        <f ca="1">IF(Message&lt;&gt;"",Message,IF(AND(P76&lt;=0,N76&gt;0),+RealEstate!O$120*$C76,0))</f>
        <v>EXPIRED</v>
      </c>
      <c r="V76" s="23" t="str">
        <f ca="1">IF(Message&lt;&gt;"",Message,+X75*RealEstate!O$115)</f>
        <v>EXPIRED</v>
      </c>
      <c r="W76" s="23" t="str">
        <f ca="1">IF(Message&lt;&gt;"",Message,+IF(P76&gt;0,-P76*RealEstate!O$113,IF(X75&lt;=0.1,0,IF(N77=0,X75,IF(W75&gt;0,SUM(V75:W75)-V76,X75/100000*O$116-V76)))))</f>
        <v>EXPIRED</v>
      </c>
      <c r="X76" s="44" t="str">
        <f ca="1">IF(Message&lt;&gt;"",Message,+IF(P76&gt;0,P76*RealEstate!O$113,X75-W76))</f>
        <v>EXPIRED</v>
      </c>
      <c r="Y76" s="20" t="str">
        <f t="shared" ca="1" si="42"/>
        <v>EXPIRED</v>
      </c>
      <c r="Z76" s="40"/>
      <c r="AA76" s="20" t="str">
        <f ca="1">IF(Message&lt;&gt;"",Message,IF(OR($B76&gt;RealEstate!AB$112,$B76&lt;RealEstate!AB$111),0,RealEstate!AB$109*(1+inflation+RealEstate!AB$110)^$A76))</f>
        <v>EXPIRED</v>
      </c>
      <c r="AB76" s="23" t="str">
        <f t="shared" ca="1" si="43"/>
        <v>EXPIRED</v>
      </c>
      <c r="AC76" s="23" t="str">
        <f ca="1">IF(Message&lt;&gt;"",Message,IF($B76=RealEstate!AB$111,AA76*(1+$C$3),0)+IF(O76=RealEstate!AB$112,-AA76*(1-$C$2),0))</f>
        <v>EXPIRED</v>
      </c>
      <c r="AD76" s="53" t="str">
        <f ca="1">IF(Message&lt;&gt;"",Message,+IF(AC76&lt;0,MAX(0,AA76 - RealEstate!AB$109*(1+RealEstate!AB$110)^(MAX(age,RealEstate!AB$111)-age)-Taxes!$B$11*$C76),0))</f>
        <v>EXPIRED</v>
      </c>
      <c r="AE76" s="43" t="str">
        <f ca="1">IF(Message&lt;&gt;"",Message,IF(AND(AC76&lt;=0,AA76&gt;0),+AA76*RealEstate!AB$117,0))</f>
        <v>EXPIRED</v>
      </c>
      <c r="AF76" s="23" t="str">
        <f ca="1">IF(Message&lt;&gt;"",Message,IF(AND(AC76&lt;=0,AA76&gt;0),+AA76*RealEstate!AB$118,0))</f>
        <v>EXPIRED</v>
      </c>
      <c r="AG76" s="23" t="str">
        <f ca="1">IF(Message&lt;&gt;"",Message,IF(AND(AC76&lt;=0,AA76&gt;0),+RealEstate!AB$119*$C76,0))</f>
        <v>EXPIRED</v>
      </c>
      <c r="AH76" s="44" t="str">
        <f ca="1">IF(Message&lt;&gt;"",Message,IF(AND(AC76&lt;=0,AA76&gt;0),+RealEstate!AB$120*$C76,0))</f>
        <v>EXPIRED</v>
      </c>
      <c r="AI76" s="23" t="str">
        <f ca="1">IF(Message&lt;&gt;"",Message,+AK75*RealEstate!AB$115)</f>
        <v>EXPIRED</v>
      </c>
      <c r="AJ76" s="23" t="str">
        <f ca="1">IF(Message&lt;&gt;"",Message,+IF(AC76&gt;0,-AC76*RealEstate!AB$113,IF(AK75&lt;=0.1,0,IF(AA77=0,AK75,IF(AJ75&gt;0,SUM(AI75:AJ75)-AI76,AK75/100000*AB$116-AI76)))))</f>
        <v>EXPIRED</v>
      </c>
      <c r="AK76" s="44" t="str">
        <f ca="1">IF(Message&lt;&gt;"",Message,+IF(AC76&gt;0,AC76*RealEstate!AB$113,AK75-AJ76))</f>
        <v>EXPIRED</v>
      </c>
      <c r="AL76" s="20" t="str">
        <f t="shared" ca="1" si="44"/>
        <v>EXPIRED</v>
      </c>
      <c r="AM76" s="40"/>
    </row>
    <row r="77" spans="1:39" x14ac:dyDescent="0.25">
      <c r="A77" s="14">
        <f t="shared" si="38"/>
        <v>72</v>
      </c>
      <c r="B77" s="14">
        <f t="shared" si="38"/>
        <v>112</v>
      </c>
      <c r="C77" s="38">
        <f t="shared" si="32"/>
        <v>4.1611403750515104</v>
      </c>
      <c r="E77" s="23">
        <f t="shared" ca="1" si="33"/>
        <v>0</v>
      </c>
      <c r="F77" s="20">
        <f t="shared" ca="1" si="39"/>
        <v>0</v>
      </c>
      <c r="G77" s="20">
        <f t="shared" ca="1" si="40"/>
        <v>0</v>
      </c>
      <c r="H77" s="23">
        <f t="shared" ca="1" si="34"/>
        <v>0</v>
      </c>
      <c r="I77" s="20">
        <f t="shared" ca="1" si="35"/>
        <v>0</v>
      </c>
      <c r="J77" s="20">
        <f t="shared" ca="1" si="36"/>
        <v>0</v>
      </c>
      <c r="K77" s="23">
        <f t="shared" ca="1" si="19"/>
        <v>0</v>
      </c>
      <c r="L77" s="23">
        <f t="shared" ca="1" si="37"/>
        <v>0</v>
      </c>
      <c r="M77" s="40"/>
      <c r="N77" s="20" t="str">
        <f ca="1">IF(Message&lt;&gt;"",Message,IF(OR($B77&gt;RealEstate!O$112,$B77&lt;RealEstate!O$111),0,RealEstate!O$109*(1+inflation+RealEstate!O$110)^$A77))</f>
        <v>EXPIRED</v>
      </c>
      <c r="O77" s="23" t="str">
        <f t="shared" ca="1" si="41"/>
        <v>EXPIRED</v>
      </c>
      <c r="P77" s="23" t="str">
        <f ca="1">IF(Message&lt;&gt;"",Message,IF($B77=RealEstate!O$111,N77*(1+$C$3),0)+IF(B77=RealEstate!O$112,-N77*(1-$C$2),0))</f>
        <v>EXPIRED</v>
      </c>
      <c r="Q77" s="53" t="str">
        <f ca="1">IF(Message&lt;&gt;"",Message,+IF(P77&lt;0,MAX(0,N77 - RealEstate!O$109*(1+RealEstate!O$110)^(MAX(age,RealEstate!O$111)-age)-Taxes!$B$11*$C77),0))</f>
        <v>EXPIRED</v>
      </c>
      <c r="R77" s="43" t="str">
        <f ca="1">IF(Message&lt;&gt;"",Message,IF(AND(P77&lt;=0,N77&gt;0),+N77*RealEstate!O$117,0))</f>
        <v>EXPIRED</v>
      </c>
      <c r="S77" s="23" t="str">
        <f ca="1">IF(Message&lt;&gt;"",Message,IF(AND(P77&lt;=0,N77&gt;0),+N77*RealEstate!O$118,0))</f>
        <v>EXPIRED</v>
      </c>
      <c r="T77" s="23" t="str">
        <f ca="1">IF(Message&lt;&gt;"",Message,IF(AND(P77&lt;=0,N77&gt;0),+RealEstate!O$119*$C77,0))</f>
        <v>EXPIRED</v>
      </c>
      <c r="U77" s="44" t="str">
        <f ca="1">IF(Message&lt;&gt;"",Message,IF(AND(P77&lt;=0,N77&gt;0),+RealEstate!O$120*$C77,0))</f>
        <v>EXPIRED</v>
      </c>
      <c r="V77" s="23" t="str">
        <f ca="1">IF(Message&lt;&gt;"",Message,+X76*RealEstate!O$115)</f>
        <v>EXPIRED</v>
      </c>
      <c r="W77" s="23" t="str">
        <f ca="1">IF(Message&lt;&gt;"",Message,+IF(P77&gt;0,-P77*RealEstate!O$113,IF(X76&lt;=0.1,0,IF(N78=0,X76,IF(W76&gt;0,SUM(V76:W76)-V77,X76/100000*O$116-V77)))))</f>
        <v>EXPIRED</v>
      </c>
      <c r="X77" s="44" t="str">
        <f ca="1">IF(Message&lt;&gt;"",Message,+IF(P77&gt;0,P77*RealEstate!O$113,X76-W77))</f>
        <v>EXPIRED</v>
      </c>
      <c r="Y77" s="20" t="str">
        <f t="shared" ca="1" si="42"/>
        <v>EXPIRED</v>
      </c>
      <c r="Z77" s="40"/>
      <c r="AA77" s="20" t="str">
        <f ca="1">IF(Message&lt;&gt;"",Message,IF(OR($B77&gt;RealEstate!AB$112,$B77&lt;RealEstate!AB$111),0,RealEstate!AB$109*(1+inflation+RealEstate!AB$110)^$A77))</f>
        <v>EXPIRED</v>
      </c>
      <c r="AB77" s="23" t="str">
        <f t="shared" ca="1" si="43"/>
        <v>EXPIRED</v>
      </c>
      <c r="AC77" s="23" t="str">
        <f ca="1">IF(Message&lt;&gt;"",Message,IF($B77=RealEstate!AB$111,AA77*(1+$C$3),0)+IF(O77=RealEstate!AB$112,-AA77*(1-$C$2),0))</f>
        <v>EXPIRED</v>
      </c>
      <c r="AD77" s="53" t="str">
        <f ca="1">IF(Message&lt;&gt;"",Message,+IF(AC77&lt;0,MAX(0,AA77 - RealEstate!AB$109*(1+RealEstate!AB$110)^(MAX(age,RealEstate!AB$111)-age)-Taxes!$B$11*$C77),0))</f>
        <v>EXPIRED</v>
      </c>
      <c r="AE77" s="43" t="str">
        <f ca="1">IF(Message&lt;&gt;"",Message,IF(AND(AC77&lt;=0,AA77&gt;0),+AA77*RealEstate!AB$117,0))</f>
        <v>EXPIRED</v>
      </c>
      <c r="AF77" s="23" t="str">
        <f ca="1">IF(Message&lt;&gt;"",Message,IF(AND(AC77&lt;=0,AA77&gt;0),+AA77*RealEstate!AB$118,0))</f>
        <v>EXPIRED</v>
      </c>
      <c r="AG77" s="23" t="str">
        <f ca="1">IF(Message&lt;&gt;"",Message,IF(AND(AC77&lt;=0,AA77&gt;0),+RealEstate!AB$119*$C77,0))</f>
        <v>EXPIRED</v>
      </c>
      <c r="AH77" s="44" t="str">
        <f ca="1">IF(Message&lt;&gt;"",Message,IF(AND(AC77&lt;=0,AA77&gt;0),+RealEstate!AB$120*$C77,0))</f>
        <v>EXPIRED</v>
      </c>
      <c r="AI77" s="23" t="str">
        <f ca="1">IF(Message&lt;&gt;"",Message,+AK76*RealEstate!AB$115)</f>
        <v>EXPIRED</v>
      </c>
      <c r="AJ77" s="23" t="str">
        <f ca="1">IF(Message&lt;&gt;"",Message,+IF(AC77&gt;0,-AC77*RealEstate!AB$113,IF(AK76&lt;=0.1,0,IF(AA78=0,AK76,IF(AJ76&gt;0,SUM(AI76:AJ76)-AI77,AK76/100000*AB$116-AI77)))))</f>
        <v>EXPIRED</v>
      </c>
      <c r="AK77" s="44" t="str">
        <f ca="1">IF(Message&lt;&gt;"",Message,+IF(AC77&gt;0,AC77*RealEstate!AB$113,AK76-AJ77))</f>
        <v>EXPIRED</v>
      </c>
      <c r="AL77" s="20" t="str">
        <f t="shared" ca="1" si="44"/>
        <v>EXPIRED</v>
      </c>
      <c r="AM77" s="40"/>
    </row>
    <row r="78" spans="1:39" x14ac:dyDescent="0.25">
      <c r="A78" s="14">
        <f t="shared" si="38"/>
        <v>73</v>
      </c>
      <c r="B78" s="14">
        <f t="shared" si="38"/>
        <v>113</v>
      </c>
      <c r="C78" s="38">
        <f t="shared" si="32"/>
        <v>4.2443631825525401</v>
      </c>
      <c r="E78" s="23">
        <f t="shared" ca="1" si="33"/>
        <v>0</v>
      </c>
      <c r="F78" s="20">
        <f t="shared" ca="1" si="39"/>
        <v>0</v>
      </c>
      <c r="G78" s="20">
        <f t="shared" ca="1" si="40"/>
        <v>0</v>
      </c>
      <c r="H78" s="23">
        <f t="shared" ca="1" si="34"/>
        <v>0</v>
      </c>
      <c r="I78" s="20">
        <f t="shared" ca="1" si="35"/>
        <v>0</v>
      </c>
      <c r="J78" s="20">
        <f t="shared" ca="1" si="36"/>
        <v>0</v>
      </c>
      <c r="K78" s="23">
        <f t="shared" ca="1" si="19"/>
        <v>0</v>
      </c>
      <c r="L78" s="23">
        <f t="shared" ca="1" si="37"/>
        <v>0</v>
      </c>
      <c r="M78" s="40"/>
      <c r="N78" s="20" t="str">
        <f ca="1">IF(Message&lt;&gt;"",Message,IF(OR($B78&gt;RealEstate!O$112,$B78&lt;RealEstate!O$111),0,RealEstate!O$109*(1+inflation+RealEstate!O$110)^$A78))</f>
        <v>EXPIRED</v>
      </c>
      <c r="O78" s="23" t="str">
        <f t="shared" ca="1" si="41"/>
        <v>EXPIRED</v>
      </c>
      <c r="P78" s="23" t="str">
        <f ca="1">IF(Message&lt;&gt;"",Message,IF($B78=RealEstate!O$111,N78*(1+$C$3),0)+IF(B78=RealEstate!O$112,-N78*(1-$C$2),0))</f>
        <v>EXPIRED</v>
      </c>
      <c r="Q78" s="53" t="str">
        <f ca="1">IF(Message&lt;&gt;"",Message,+IF(P78&lt;0,MAX(0,N78 - RealEstate!O$109*(1+RealEstate!O$110)^(MAX(age,RealEstate!O$111)-age)-Taxes!$B$11*$C78),0))</f>
        <v>EXPIRED</v>
      </c>
      <c r="R78" s="43" t="str">
        <f ca="1">IF(Message&lt;&gt;"",Message,IF(AND(P78&lt;=0,N78&gt;0),+N78*RealEstate!O$117,0))</f>
        <v>EXPIRED</v>
      </c>
      <c r="S78" s="23" t="str">
        <f ca="1">IF(Message&lt;&gt;"",Message,IF(AND(P78&lt;=0,N78&gt;0),+N78*RealEstate!O$118,0))</f>
        <v>EXPIRED</v>
      </c>
      <c r="T78" s="23" t="str">
        <f ca="1">IF(Message&lt;&gt;"",Message,IF(AND(P78&lt;=0,N78&gt;0),+RealEstate!O$119*$C78,0))</f>
        <v>EXPIRED</v>
      </c>
      <c r="U78" s="44" t="str">
        <f ca="1">IF(Message&lt;&gt;"",Message,IF(AND(P78&lt;=0,N78&gt;0),+RealEstate!O$120*$C78,0))</f>
        <v>EXPIRED</v>
      </c>
      <c r="V78" s="23" t="str">
        <f ca="1">IF(Message&lt;&gt;"",Message,+X77*RealEstate!O$115)</f>
        <v>EXPIRED</v>
      </c>
      <c r="W78" s="23" t="str">
        <f ca="1">IF(Message&lt;&gt;"",Message,+IF(P78&gt;0,-P78*RealEstate!O$113,IF(X77&lt;=0.1,0,IF(N79=0,X77,IF(W77&gt;0,SUM(V77:W77)-V78,X77/100000*O$116-V78)))))</f>
        <v>EXPIRED</v>
      </c>
      <c r="X78" s="44" t="str">
        <f ca="1">IF(Message&lt;&gt;"",Message,+IF(P78&gt;0,P78*RealEstate!O$113,X77-W78))</f>
        <v>EXPIRED</v>
      </c>
      <c r="Y78" s="20" t="str">
        <f t="shared" ca="1" si="42"/>
        <v>EXPIRED</v>
      </c>
      <c r="Z78" s="40"/>
      <c r="AA78" s="20" t="str">
        <f ca="1">IF(Message&lt;&gt;"",Message,IF(OR($B78&gt;RealEstate!AB$112,$B78&lt;RealEstate!AB$111),0,RealEstate!AB$109*(1+inflation+RealEstate!AB$110)^$A78))</f>
        <v>EXPIRED</v>
      </c>
      <c r="AB78" s="23" t="str">
        <f t="shared" ca="1" si="43"/>
        <v>EXPIRED</v>
      </c>
      <c r="AC78" s="23" t="str">
        <f ca="1">IF(Message&lt;&gt;"",Message,IF($B78=RealEstate!AB$111,AA78*(1+$C$3),0)+IF(O78=RealEstate!AB$112,-AA78*(1-$C$2),0))</f>
        <v>EXPIRED</v>
      </c>
      <c r="AD78" s="53" t="str">
        <f ca="1">IF(Message&lt;&gt;"",Message,+IF(AC78&lt;0,MAX(0,AA78 - RealEstate!AB$109*(1+RealEstate!AB$110)^(MAX(age,RealEstate!AB$111)-age)-Taxes!$B$11*$C78),0))</f>
        <v>EXPIRED</v>
      </c>
      <c r="AE78" s="43" t="str">
        <f ca="1">IF(Message&lt;&gt;"",Message,IF(AND(AC78&lt;=0,AA78&gt;0),+AA78*RealEstate!AB$117,0))</f>
        <v>EXPIRED</v>
      </c>
      <c r="AF78" s="23" t="str">
        <f ca="1">IF(Message&lt;&gt;"",Message,IF(AND(AC78&lt;=0,AA78&gt;0),+AA78*RealEstate!AB$118,0))</f>
        <v>EXPIRED</v>
      </c>
      <c r="AG78" s="23" t="str">
        <f ca="1">IF(Message&lt;&gt;"",Message,IF(AND(AC78&lt;=0,AA78&gt;0),+RealEstate!AB$119*$C78,0))</f>
        <v>EXPIRED</v>
      </c>
      <c r="AH78" s="44" t="str">
        <f ca="1">IF(Message&lt;&gt;"",Message,IF(AND(AC78&lt;=0,AA78&gt;0),+RealEstate!AB$120*$C78,0))</f>
        <v>EXPIRED</v>
      </c>
      <c r="AI78" s="23" t="str">
        <f ca="1">IF(Message&lt;&gt;"",Message,+AK77*RealEstate!AB$115)</f>
        <v>EXPIRED</v>
      </c>
      <c r="AJ78" s="23" t="str">
        <f ca="1">IF(Message&lt;&gt;"",Message,+IF(AC78&gt;0,-AC78*RealEstate!AB$113,IF(AK77&lt;=0.1,0,IF(AA79=0,AK77,IF(AJ77&gt;0,SUM(AI77:AJ77)-AI78,AK77/100000*AB$116-AI78)))))</f>
        <v>EXPIRED</v>
      </c>
      <c r="AK78" s="44" t="str">
        <f ca="1">IF(Message&lt;&gt;"",Message,+IF(AC78&gt;0,AC78*RealEstate!AB$113,AK77-AJ78))</f>
        <v>EXPIRED</v>
      </c>
      <c r="AL78" s="20" t="str">
        <f t="shared" ca="1" si="44"/>
        <v>EXPIRED</v>
      </c>
      <c r="AM78" s="40"/>
    </row>
    <row r="79" spans="1:39" x14ac:dyDescent="0.25">
      <c r="A79" s="14">
        <f t="shared" si="38"/>
        <v>74</v>
      </c>
      <c r="B79" s="14">
        <f t="shared" si="38"/>
        <v>114</v>
      </c>
      <c r="C79" s="38">
        <f t="shared" si="32"/>
        <v>4.3292504462035915</v>
      </c>
      <c r="E79" s="23">
        <f t="shared" ca="1" si="33"/>
        <v>0</v>
      </c>
      <c r="F79" s="20">
        <f t="shared" ca="1" si="39"/>
        <v>0</v>
      </c>
      <c r="G79" s="20">
        <f t="shared" ca="1" si="40"/>
        <v>0</v>
      </c>
      <c r="H79" s="23">
        <f t="shared" ca="1" si="34"/>
        <v>0</v>
      </c>
      <c r="I79" s="20">
        <f t="shared" ca="1" si="35"/>
        <v>0</v>
      </c>
      <c r="J79" s="20">
        <f t="shared" ca="1" si="36"/>
        <v>0</v>
      </c>
      <c r="K79" s="23">
        <f t="shared" ca="1" si="19"/>
        <v>0</v>
      </c>
      <c r="L79" s="23">
        <f t="shared" ca="1" si="37"/>
        <v>0</v>
      </c>
      <c r="M79" s="40"/>
      <c r="N79" s="20" t="str">
        <f ca="1">IF(Message&lt;&gt;"",Message,IF(OR($B79&gt;RealEstate!O$112,$B79&lt;RealEstate!O$111),0,RealEstate!O$109*(1+inflation+RealEstate!O$110)^$A79))</f>
        <v>EXPIRED</v>
      </c>
      <c r="O79" s="23" t="str">
        <f t="shared" ca="1" si="41"/>
        <v>EXPIRED</v>
      </c>
      <c r="P79" s="23" t="str">
        <f ca="1">IF(Message&lt;&gt;"",Message,IF($B79=RealEstate!O$111,N79*(1+$C$3),0)+IF(B79=RealEstate!O$112,-N79*(1-$C$2),0))</f>
        <v>EXPIRED</v>
      </c>
      <c r="Q79" s="53" t="str">
        <f ca="1">IF(Message&lt;&gt;"",Message,+IF(P79&lt;0,MAX(0,N79 - RealEstate!O$109*(1+RealEstate!O$110)^(MAX(age,RealEstate!O$111)-age)-Taxes!$B$11*$C79),0))</f>
        <v>EXPIRED</v>
      </c>
      <c r="R79" s="43" t="str">
        <f ca="1">IF(Message&lt;&gt;"",Message,IF(AND(P79&lt;=0,N79&gt;0),+N79*RealEstate!O$117,0))</f>
        <v>EXPIRED</v>
      </c>
      <c r="S79" s="23" t="str">
        <f ca="1">IF(Message&lt;&gt;"",Message,IF(AND(P79&lt;=0,N79&gt;0),+N79*RealEstate!O$118,0))</f>
        <v>EXPIRED</v>
      </c>
      <c r="T79" s="23" t="str">
        <f ca="1">IF(Message&lt;&gt;"",Message,IF(AND(P79&lt;=0,N79&gt;0),+RealEstate!O$119*$C79,0))</f>
        <v>EXPIRED</v>
      </c>
      <c r="U79" s="44" t="str">
        <f ca="1">IF(Message&lt;&gt;"",Message,IF(AND(P79&lt;=0,N79&gt;0),+RealEstate!O$120*$C79,0))</f>
        <v>EXPIRED</v>
      </c>
      <c r="V79" s="23" t="str">
        <f ca="1">IF(Message&lt;&gt;"",Message,+X78*RealEstate!O$115)</f>
        <v>EXPIRED</v>
      </c>
      <c r="W79" s="23" t="str">
        <f ca="1">IF(Message&lt;&gt;"",Message,+IF(P79&gt;0,-P79*RealEstate!O$113,IF(X78&lt;=0.1,0,IF(N80=0,X78,IF(W78&gt;0,SUM(V78:W78)-V79,X78/100000*O$116-V79)))))</f>
        <v>EXPIRED</v>
      </c>
      <c r="X79" s="44" t="str">
        <f ca="1">IF(Message&lt;&gt;"",Message,+IF(P79&gt;0,P79*RealEstate!O$113,X78-W79))</f>
        <v>EXPIRED</v>
      </c>
      <c r="Y79" s="20" t="str">
        <f t="shared" ca="1" si="42"/>
        <v>EXPIRED</v>
      </c>
      <c r="Z79" s="40"/>
      <c r="AA79" s="20" t="str">
        <f ca="1">IF(Message&lt;&gt;"",Message,IF(OR($B79&gt;RealEstate!AB$112,$B79&lt;RealEstate!AB$111),0,RealEstate!AB$109*(1+inflation+RealEstate!AB$110)^$A79))</f>
        <v>EXPIRED</v>
      </c>
      <c r="AB79" s="23" t="str">
        <f t="shared" ca="1" si="43"/>
        <v>EXPIRED</v>
      </c>
      <c r="AC79" s="23" t="str">
        <f ca="1">IF(Message&lt;&gt;"",Message,IF($B79=RealEstate!AB$111,AA79*(1+$C$3),0)+IF(O79=RealEstate!AB$112,-AA79*(1-$C$2),0))</f>
        <v>EXPIRED</v>
      </c>
      <c r="AD79" s="53" t="str">
        <f ca="1">IF(Message&lt;&gt;"",Message,+IF(AC79&lt;0,MAX(0,AA79 - RealEstate!AB$109*(1+RealEstate!AB$110)^(MAX(age,RealEstate!AB$111)-age)-Taxes!$B$11*$C79),0))</f>
        <v>EXPIRED</v>
      </c>
      <c r="AE79" s="43" t="str">
        <f ca="1">IF(Message&lt;&gt;"",Message,IF(AND(AC79&lt;=0,AA79&gt;0),+AA79*RealEstate!AB$117,0))</f>
        <v>EXPIRED</v>
      </c>
      <c r="AF79" s="23" t="str">
        <f ca="1">IF(Message&lt;&gt;"",Message,IF(AND(AC79&lt;=0,AA79&gt;0),+AA79*RealEstate!AB$118,0))</f>
        <v>EXPIRED</v>
      </c>
      <c r="AG79" s="23" t="str">
        <f ca="1">IF(Message&lt;&gt;"",Message,IF(AND(AC79&lt;=0,AA79&gt;0),+RealEstate!AB$119*$C79,0))</f>
        <v>EXPIRED</v>
      </c>
      <c r="AH79" s="44" t="str">
        <f ca="1">IF(Message&lt;&gt;"",Message,IF(AND(AC79&lt;=0,AA79&gt;0),+RealEstate!AB$120*$C79,0))</f>
        <v>EXPIRED</v>
      </c>
      <c r="AI79" s="23" t="str">
        <f ca="1">IF(Message&lt;&gt;"",Message,+AK78*RealEstate!AB$115)</f>
        <v>EXPIRED</v>
      </c>
      <c r="AJ79" s="23" t="str">
        <f ca="1">IF(Message&lt;&gt;"",Message,+IF(AC79&gt;0,-AC79*RealEstate!AB$113,IF(AK78&lt;=0.1,0,IF(AA80=0,AK78,IF(AJ78&gt;0,SUM(AI78:AJ78)-AI79,AK78/100000*AB$116-AI79)))))</f>
        <v>EXPIRED</v>
      </c>
      <c r="AK79" s="44" t="str">
        <f ca="1">IF(Message&lt;&gt;"",Message,+IF(AC79&gt;0,AC79*RealEstate!AB$113,AK78-AJ79))</f>
        <v>EXPIRED</v>
      </c>
      <c r="AL79" s="20" t="str">
        <f t="shared" ca="1" si="44"/>
        <v>EXPIRED</v>
      </c>
      <c r="AM79" s="40"/>
    </row>
    <row r="80" spans="1:39" x14ac:dyDescent="0.25">
      <c r="A80" s="14">
        <f t="shared" si="38"/>
        <v>75</v>
      </c>
      <c r="B80" s="14">
        <f t="shared" si="38"/>
        <v>115</v>
      </c>
      <c r="C80" s="38">
        <f t="shared" si="32"/>
        <v>4.4158354551276622</v>
      </c>
      <c r="E80" s="23">
        <f t="shared" ca="1" si="33"/>
        <v>0</v>
      </c>
      <c r="F80" s="20">
        <f t="shared" ca="1" si="39"/>
        <v>0</v>
      </c>
      <c r="G80" s="20">
        <f t="shared" ca="1" si="40"/>
        <v>0</v>
      </c>
      <c r="H80" s="23">
        <f t="shared" ca="1" si="34"/>
        <v>0</v>
      </c>
      <c r="I80" s="20">
        <f t="shared" ca="1" si="35"/>
        <v>0</v>
      </c>
      <c r="J80" s="20">
        <f t="shared" ca="1" si="36"/>
        <v>0</v>
      </c>
      <c r="K80" s="23">
        <f t="shared" ca="1" si="19"/>
        <v>0</v>
      </c>
      <c r="L80" s="23">
        <f t="shared" ca="1" si="37"/>
        <v>0</v>
      </c>
      <c r="M80" s="40"/>
      <c r="N80" s="20" t="str">
        <f ca="1">IF(Message&lt;&gt;"",Message,IF(OR($B80&gt;RealEstate!O$112,$B80&lt;RealEstate!O$111),0,RealEstate!O$109*(1+inflation+RealEstate!O$110)^$A80))</f>
        <v>EXPIRED</v>
      </c>
      <c r="O80" s="23" t="str">
        <f t="shared" ca="1" si="41"/>
        <v>EXPIRED</v>
      </c>
      <c r="P80" s="23" t="str">
        <f ca="1">IF(Message&lt;&gt;"",Message,IF($B80=RealEstate!O$111,N80*(1+$C$3),0)+IF(B80=RealEstate!O$112,-N80*(1-$C$2),0))</f>
        <v>EXPIRED</v>
      </c>
      <c r="Q80" s="53" t="str">
        <f ca="1">IF(Message&lt;&gt;"",Message,+IF(P80&lt;0,MAX(0,N80 - RealEstate!O$109*(1+RealEstate!O$110)^(MAX(age,RealEstate!O$111)-age)-Taxes!$B$11*$C80),0))</f>
        <v>EXPIRED</v>
      </c>
      <c r="R80" s="43" t="str">
        <f ca="1">IF(Message&lt;&gt;"",Message,IF(AND(P80&lt;=0,N80&gt;0),+N80*RealEstate!O$117,0))</f>
        <v>EXPIRED</v>
      </c>
      <c r="S80" s="23" t="str">
        <f ca="1">IF(Message&lt;&gt;"",Message,IF(AND(P80&lt;=0,N80&gt;0),+N80*RealEstate!O$118,0))</f>
        <v>EXPIRED</v>
      </c>
      <c r="T80" s="23" t="str">
        <f ca="1">IF(Message&lt;&gt;"",Message,IF(AND(P80&lt;=0,N80&gt;0),+RealEstate!O$119*$C80,0))</f>
        <v>EXPIRED</v>
      </c>
      <c r="U80" s="44" t="str">
        <f ca="1">IF(Message&lt;&gt;"",Message,IF(AND(P80&lt;=0,N80&gt;0),+RealEstate!O$120*$C80,0))</f>
        <v>EXPIRED</v>
      </c>
      <c r="V80" s="23" t="str">
        <f ca="1">IF(Message&lt;&gt;"",Message,+X79*RealEstate!O$115)</f>
        <v>EXPIRED</v>
      </c>
      <c r="W80" s="23" t="str">
        <f ca="1">IF(Message&lt;&gt;"",Message,+IF(P80&gt;0,-P80*RealEstate!O$113,IF(X79&lt;=0.1,0,IF(N81=0,X79,IF(W79&gt;0,SUM(V79:W79)-V80,X79/100000*O$116-V80)))))</f>
        <v>EXPIRED</v>
      </c>
      <c r="X80" s="44" t="str">
        <f ca="1">IF(Message&lt;&gt;"",Message,+IF(P80&gt;0,P80*RealEstate!O$113,X79-W80))</f>
        <v>EXPIRED</v>
      </c>
      <c r="Y80" s="20" t="str">
        <f t="shared" ca="1" si="42"/>
        <v>EXPIRED</v>
      </c>
      <c r="Z80" s="40"/>
      <c r="AA80" s="20" t="str">
        <f ca="1">IF(Message&lt;&gt;"",Message,IF(OR($B80&gt;RealEstate!AB$112,$B80&lt;RealEstate!AB$111),0,RealEstate!AB$109*(1+inflation+RealEstate!AB$110)^$A80))</f>
        <v>EXPIRED</v>
      </c>
      <c r="AB80" s="23" t="str">
        <f t="shared" ca="1" si="43"/>
        <v>EXPIRED</v>
      </c>
      <c r="AC80" s="23" t="str">
        <f ca="1">IF(Message&lt;&gt;"",Message,IF($B80=RealEstate!AB$111,AA80*(1+$C$3),0)+IF(O80=RealEstate!AB$112,-AA80*(1-$C$2),0))</f>
        <v>EXPIRED</v>
      </c>
      <c r="AD80" s="53" t="str">
        <f ca="1">IF(Message&lt;&gt;"",Message,+IF(AC80&lt;0,MAX(0,AA80 - RealEstate!AB$109*(1+RealEstate!AB$110)^(MAX(age,RealEstate!AB$111)-age)-Taxes!$B$11*$C80),0))</f>
        <v>EXPIRED</v>
      </c>
      <c r="AE80" s="43" t="str">
        <f ca="1">IF(Message&lt;&gt;"",Message,IF(AND(AC80&lt;=0,AA80&gt;0),+AA80*RealEstate!AB$117,0))</f>
        <v>EXPIRED</v>
      </c>
      <c r="AF80" s="23" t="str">
        <f ca="1">IF(Message&lt;&gt;"",Message,IF(AND(AC80&lt;=0,AA80&gt;0),+AA80*RealEstate!AB$118,0))</f>
        <v>EXPIRED</v>
      </c>
      <c r="AG80" s="23" t="str">
        <f ca="1">IF(Message&lt;&gt;"",Message,IF(AND(AC80&lt;=0,AA80&gt;0),+RealEstate!AB$119*$C80,0))</f>
        <v>EXPIRED</v>
      </c>
      <c r="AH80" s="44" t="str">
        <f ca="1">IF(Message&lt;&gt;"",Message,IF(AND(AC80&lt;=0,AA80&gt;0),+RealEstate!AB$120*$C80,0))</f>
        <v>EXPIRED</v>
      </c>
      <c r="AI80" s="23" t="str">
        <f ca="1">IF(Message&lt;&gt;"",Message,+AK79*RealEstate!AB$115)</f>
        <v>EXPIRED</v>
      </c>
      <c r="AJ80" s="23" t="str">
        <f ca="1">IF(Message&lt;&gt;"",Message,+IF(AC80&gt;0,-AC80*RealEstate!AB$113,IF(AK79&lt;=0.1,0,IF(AA81=0,AK79,IF(AJ79&gt;0,SUM(AI79:AJ79)-AI80,AK79/100000*AB$116-AI80)))))</f>
        <v>EXPIRED</v>
      </c>
      <c r="AK80" s="44" t="str">
        <f ca="1">IF(Message&lt;&gt;"",Message,+IF(AC80&gt;0,AC80*RealEstate!AB$113,AK79-AJ80))</f>
        <v>EXPIRED</v>
      </c>
      <c r="AL80" s="20" t="str">
        <f t="shared" ca="1" si="44"/>
        <v>EXPIRED</v>
      </c>
      <c r="AM80" s="40"/>
    </row>
    <row r="81" spans="1:39" x14ac:dyDescent="0.25">
      <c r="A81" s="14">
        <f t="shared" si="38"/>
        <v>76</v>
      </c>
      <c r="B81" s="14">
        <f t="shared" si="38"/>
        <v>116</v>
      </c>
      <c r="C81" s="38">
        <f t="shared" si="32"/>
        <v>4.5041521642302165</v>
      </c>
      <c r="E81" s="23">
        <f t="shared" ca="1" si="33"/>
        <v>0</v>
      </c>
      <c r="F81" s="20">
        <f t="shared" ca="1" si="39"/>
        <v>0</v>
      </c>
      <c r="G81" s="20">
        <f t="shared" ca="1" si="40"/>
        <v>0</v>
      </c>
      <c r="H81" s="23">
        <f t="shared" ca="1" si="34"/>
        <v>0</v>
      </c>
      <c r="I81" s="20">
        <f t="shared" ca="1" si="35"/>
        <v>0</v>
      </c>
      <c r="J81" s="20">
        <f t="shared" ca="1" si="36"/>
        <v>0</v>
      </c>
      <c r="K81" s="23">
        <f t="shared" ca="1" si="19"/>
        <v>0</v>
      </c>
      <c r="L81" s="23">
        <f t="shared" ca="1" si="37"/>
        <v>0</v>
      </c>
      <c r="M81" s="40"/>
      <c r="N81" s="20" t="str">
        <f ca="1">IF(Message&lt;&gt;"",Message,IF(OR($B81&gt;RealEstate!O$112,$B81&lt;RealEstate!O$111),0,RealEstate!O$109*(1+inflation+RealEstate!O$110)^$A81))</f>
        <v>EXPIRED</v>
      </c>
      <c r="O81" s="23" t="str">
        <f t="shared" ca="1" si="41"/>
        <v>EXPIRED</v>
      </c>
      <c r="P81" s="23" t="str">
        <f ca="1">IF(Message&lt;&gt;"",Message,IF($B81=RealEstate!O$111,N81*(1+$C$3),0)+IF(B81=RealEstate!O$112,-N81*(1-$C$2),0))</f>
        <v>EXPIRED</v>
      </c>
      <c r="Q81" s="53" t="str">
        <f ca="1">IF(Message&lt;&gt;"",Message,+IF(P81&lt;0,MAX(0,N81 - RealEstate!O$109*(1+RealEstate!O$110)^(MAX(age,RealEstate!O$111)-age)-Taxes!$B$11*$C81),0))</f>
        <v>EXPIRED</v>
      </c>
      <c r="R81" s="43" t="str">
        <f ca="1">IF(Message&lt;&gt;"",Message,IF(AND(P81&lt;=0,N81&gt;0),+N81*RealEstate!O$117,0))</f>
        <v>EXPIRED</v>
      </c>
      <c r="S81" s="23" t="str">
        <f ca="1">IF(Message&lt;&gt;"",Message,IF(AND(P81&lt;=0,N81&gt;0),+N81*RealEstate!O$118,0))</f>
        <v>EXPIRED</v>
      </c>
      <c r="T81" s="23" t="str">
        <f ca="1">IF(Message&lt;&gt;"",Message,IF(AND(P81&lt;=0,N81&gt;0),+RealEstate!O$119*$C81,0))</f>
        <v>EXPIRED</v>
      </c>
      <c r="U81" s="44" t="str">
        <f ca="1">IF(Message&lt;&gt;"",Message,IF(AND(P81&lt;=0,N81&gt;0),+RealEstate!O$120*$C81,0))</f>
        <v>EXPIRED</v>
      </c>
      <c r="V81" s="23" t="str">
        <f ca="1">IF(Message&lt;&gt;"",Message,+X80*RealEstate!O$115)</f>
        <v>EXPIRED</v>
      </c>
      <c r="W81" s="23" t="str">
        <f ca="1">IF(Message&lt;&gt;"",Message,+IF(P81&gt;0,-P81*RealEstate!O$113,IF(X80&lt;=0.1,0,IF(N82=0,X80,IF(W80&gt;0,SUM(V80:W80)-V81,X80/100000*O$116-V81)))))</f>
        <v>EXPIRED</v>
      </c>
      <c r="X81" s="44" t="str">
        <f ca="1">IF(Message&lt;&gt;"",Message,+IF(P81&gt;0,P81*RealEstate!O$113,X80-W81))</f>
        <v>EXPIRED</v>
      </c>
      <c r="Y81" s="20" t="str">
        <f t="shared" ca="1" si="42"/>
        <v>EXPIRED</v>
      </c>
      <c r="Z81" s="40"/>
      <c r="AA81" s="20" t="str">
        <f ca="1">IF(Message&lt;&gt;"",Message,IF(OR($B81&gt;RealEstate!AB$112,$B81&lt;RealEstate!AB$111),0,RealEstate!AB$109*(1+inflation+RealEstate!AB$110)^$A81))</f>
        <v>EXPIRED</v>
      </c>
      <c r="AB81" s="23" t="str">
        <f t="shared" ca="1" si="43"/>
        <v>EXPIRED</v>
      </c>
      <c r="AC81" s="23" t="str">
        <f ca="1">IF(Message&lt;&gt;"",Message,IF($B81=RealEstate!AB$111,AA81*(1+$C$3),0)+IF(O81=RealEstate!AB$112,-AA81*(1-$C$2),0))</f>
        <v>EXPIRED</v>
      </c>
      <c r="AD81" s="53" t="str">
        <f ca="1">IF(Message&lt;&gt;"",Message,+IF(AC81&lt;0,MAX(0,AA81 - RealEstate!AB$109*(1+RealEstate!AB$110)^(MAX(age,RealEstate!AB$111)-age)-Taxes!$B$11*$C81),0))</f>
        <v>EXPIRED</v>
      </c>
      <c r="AE81" s="43" t="str">
        <f ca="1">IF(Message&lt;&gt;"",Message,IF(AND(AC81&lt;=0,AA81&gt;0),+AA81*RealEstate!AB$117,0))</f>
        <v>EXPIRED</v>
      </c>
      <c r="AF81" s="23" t="str">
        <f ca="1">IF(Message&lt;&gt;"",Message,IF(AND(AC81&lt;=0,AA81&gt;0),+AA81*RealEstate!AB$118,0))</f>
        <v>EXPIRED</v>
      </c>
      <c r="AG81" s="23" t="str">
        <f ca="1">IF(Message&lt;&gt;"",Message,IF(AND(AC81&lt;=0,AA81&gt;0),+RealEstate!AB$119*$C81,0))</f>
        <v>EXPIRED</v>
      </c>
      <c r="AH81" s="44" t="str">
        <f ca="1">IF(Message&lt;&gt;"",Message,IF(AND(AC81&lt;=0,AA81&gt;0),+RealEstate!AB$120*$C81,0))</f>
        <v>EXPIRED</v>
      </c>
      <c r="AI81" s="23" t="str">
        <f ca="1">IF(Message&lt;&gt;"",Message,+AK80*RealEstate!AB$115)</f>
        <v>EXPIRED</v>
      </c>
      <c r="AJ81" s="23" t="str">
        <f ca="1">IF(Message&lt;&gt;"",Message,+IF(AC81&gt;0,-AC81*RealEstate!AB$113,IF(AK80&lt;=0.1,0,IF(AA82=0,AK80,IF(AJ80&gt;0,SUM(AI80:AJ80)-AI81,AK80/100000*AB$116-AI81)))))</f>
        <v>EXPIRED</v>
      </c>
      <c r="AK81" s="44" t="str">
        <f ca="1">IF(Message&lt;&gt;"",Message,+IF(AC81&gt;0,AC81*RealEstate!AB$113,AK80-AJ81))</f>
        <v>EXPIRED</v>
      </c>
      <c r="AL81" s="20" t="str">
        <f t="shared" ca="1" si="44"/>
        <v>EXPIRED</v>
      </c>
      <c r="AM81" s="40"/>
    </row>
    <row r="82" spans="1:39" x14ac:dyDescent="0.25">
      <c r="A82" s="14">
        <f t="shared" si="38"/>
        <v>77</v>
      </c>
      <c r="B82" s="14">
        <f t="shared" si="38"/>
        <v>117</v>
      </c>
      <c r="C82" s="38">
        <f t="shared" si="32"/>
        <v>4.5942352075148207</v>
      </c>
      <c r="E82" s="23">
        <f t="shared" ca="1" si="33"/>
        <v>0</v>
      </c>
      <c r="F82" s="20">
        <f t="shared" ca="1" si="39"/>
        <v>0</v>
      </c>
      <c r="G82" s="20">
        <f t="shared" ca="1" si="40"/>
        <v>0</v>
      </c>
      <c r="H82" s="23">
        <f t="shared" ca="1" si="34"/>
        <v>0</v>
      </c>
      <c r="I82" s="20">
        <f t="shared" ca="1" si="35"/>
        <v>0</v>
      </c>
      <c r="J82" s="20">
        <f t="shared" ca="1" si="36"/>
        <v>0</v>
      </c>
      <c r="K82" s="23">
        <f t="shared" ca="1" si="19"/>
        <v>0</v>
      </c>
      <c r="L82" s="23">
        <f t="shared" ca="1" si="37"/>
        <v>0</v>
      </c>
      <c r="M82" s="40"/>
      <c r="N82" s="20" t="str">
        <f ca="1">IF(Message&lt;&gt;"",Message,IF(OR($B82&gt;RealEstate!O$112,$B82&lt;RealEstate!O$111),0,RealEstate!O$109*(1+inflation+RealEstate!O$110)^$A82))</f>
        <v>EXPIRED</v>
      </c>
      <c r="O82" s="23" t="str">
        <f t="shared" ca="1" si="41"/>
        <v>EXPIRED</v>
      </c>
      <c r="P82" s="23" t="str">
        <f ca="1">IF(Message&lt;&gt;"",Message,IF($B82=RealEstate!O$111,N82*(1+$C$3),0)+IF(B82=RealEstate!O$112,-N82*(1-$C$2),0))</f>
        <v>EXPIRED</v>
      </c>
      <c r="Q82" s="53" t="str">
        <f ca="1">IF(Message&lt;&gt;"",Message,+IF(P82&lt;0,MAX(0,N82 - RealEstate!O$109*(1+RealEstate!O$110)^(MAX(age,RealEstate!O$111)-age)-Taxes!$B$11*$C82),0))</f>
        <v>EXPIRED</v>
      </c>
      <c r="R82" s="43" t="str">
        <f ca="1">IF(Message&lt;&gt;"",Message,IF(AND(P82&lt;=0,N82&gt;0),+N82*RealEstate!O$117,0))</f>
        <v>EXPIRED</v>
      </c>
      <c r="S82" s="23" t="str">
        <f ca="1">IF(Message&lt;&gt;"",Message,IF(AND(P82&lt;=0,N82&gt;0),+N82*RealEstate!O$118,0))</f>
        <v>EXPIRED</v>
      </c>
      <c r="T82" s="23" t="str">
        <f ca="1">IF(Message&lt;&gt;"",Message,IF(AND(P82&lt;=0,N82&gt;0),+RealEstate!O$119*$C82,0))</f>
        <v>EXPIRED</v>
      </c>
      <c r="U82" s="44" t="str">
        <f ca="1">IF(Message&lt;&gt;"",Message,IF(AND(P82&lt;=0,N82&gt;0),+RealEstate!O$120*$C82,0))</f>
        <v>EXPIRED</v>
      </c>
      <c r="V82" s="23" t="str">
        <f ca="1">IF(Message&lt;&gt;"",Message,+X81*RealEstate!O$115)</f>
        <v>EXPIRED</v>
      </c>
      <c r="W82" s="23" t="str">
        <f ca="1">IF(Message&lt;&gt;"",Message,+IF(P82&gt;0,-P82*RealEstate!O$113,IF(X81&lt;=0.1,0,IF(N83=0,X81,IF(W81&gt;0,SUM(V81:W81)-V82,X81/100000*O$116-V82)))))</f>
        <v>EXPIRED</v>
      </c>
      <c r="X82" s="44" t="str">
        <f ca="1">IF(Message&lt;&gt;"",Message,+IF(P82&gt;0,P82*RealEstate!O$113,X81-W82))</f>
        <v>EXPIRED</v>
      </c>
      <c r="Y82" s="20" t="str">
        <f t="shared" ca="1" si="42"/>
        <v>EXPIRED</v>
      </c>
      <c r="Z82" s="40"/>
      <c r="AA82" s="20" t="str">
        <f ca="1">IF(Message&lt;&gt;"",Message,IF(OR($B82&gt;RealEstate!AB$112,$B82&lt;RealEstate!AB$111),0,RealEstate!AB$109*(1+inflation+RealEstate!AB$110)^$A82))</f>
        <v>EXPIRED</v>
      </c>
      <c r="AB82" s="23" t="str">
        <f t="shared" ca="1" si="43"/>
        <v>EXPIRED</v>
      </c>
      <c r="AC82" s="23" t="str">
        <f ca="1">IF(Message&lt;&gt;"",Message,IF($B82=RealEstate!AB$111,AA82*(1+$C$3),0)+IF(O82=RealEstate!AB$112,-AA82*(1-$C$2),0))</f>
        <v>EXPIRED</v>
      </c>
      <c r="AD82" s="53" t="str">
        <f ca="1">IF(Message&lt;&gt;"",Message,+IF(AC82&lt;0,MAX(0,AA82 - RealEstate!AB$109*(1+RealEstate!AB$110)^(MAX(age,RealEstate!AB$111)-age)-Taxes!$B$11*$C82),0))</f>
        <v>EXPIRED</v>
      </c>
      <c r="AE82" s="43" t="str">
        <f ca="1">IF(Message&lt;&gt;"",Message,IF(AND(AC82&lt;=0,AA82&gt;0),+AA82*RealEstate!AB$117,0))</f>
        <v>EXPIRED</v>
      </c>
      <c r="AF82" s="23" t="str">
        <f ca="1">IF(Message&lt;&gt;"",Message,IF(AND(AC82&lt;=0,AA82&gt;0),+AA82*RealEstate!AB$118,0))</f>
        <v>EXPIRED</v>
      </c>
      <c r="AG82" s="23" t="str">
        <f ca="1">IF(Message&lt;&gt;"",Message,IF(AND(AC82&lt;=0,AA82&gt;0),+RealEstate!AB$119*$C82,0))</f>
        <v>EXPIRED</v>
      </c>
      <c r="AH82" s="44" t="str">
        <f ca="1">IF(Message&lt;&gt;"",Message,IF(AND(AC82&lt;=0,AA82&gt;0),+RealEstate!AB$120*$C82,0))</f>
        <v>EXPIRED</v>
      </c>
      <c r="AI82" s="23" t="str">
        <f ca="1">IF(Message&lt;&gt;"",Message,+AK81*RealEstate!AB$115)</f>
        <v>EXPIRED</v>
      </c>
      <c r="AJ82" s="23" t="str">
        <f ca="1">IF(Message&lt;&gt;"",Message,+IF(AC82&gt;0,-AC82*RealEstate!AB$113,IF(AK81&lt;=0.1,0,IF(AA83=0,AK81,IF(AJ81&gt;0,SUM(AI81:AJ81)-AI82,AK81/100000*AB$116-AI82)))))</f>
        <v>EXPIRED</v>
      </c>
      <c r="AK82" s="44" t="str">
        <f ca="1">IF(Message&lt;&gt;"",Message,+IF(AC82&gt;0,AC82*RealEstate!AB$113,AK81-AJ82))</f>
        <v>EXPIRED</v>
      </c>
      <c r="AL82" s="20" t="str">
        <f t="shared" ca="1" si="44"/>
        <v>EXPIRED</v>
      </c>
      <c r="AM82" s="40"/>
    </row>
    <row r="83" spans="1:39" x14ac:dyDescent="0.25">
      <c r="A83" s="14">
        <f t="shared" si="38"/>
        <v>78</v>
      </c>
      <c r="B83" s="14">
        <f t="shared" si="38"/>
        <v>118</v>
      </c>
      <c r="C83" s="38">
        <f t="shared" si="32"/>
        <v>4.6861199116651173</v>
      </c>
      <c r="E83" s="23">
        <f t="shared" ca="1" si="33"/>
        <v>0</v>
      </c>
      <c r="F83" s="20">
        <f t="shared" ca="1" si="39"/>
        <v>0</v>
      </c>
      <c r="G83" s="20">
        <f t="shared" ca="1" si="40"/>
        <v>0</v>
      </c>
      <c r="H83" s="23">
        <f t="shared" ca="1" si="34"/>
        <v>0</v>
      </c>
      <c r="I83" s="20">
        <f t="shared" ca="1" si="35"/>
        <v>0</v>
      </c>
      <c r="J83" s="20">
        <f t="shared" ca="1" si="36"/>
        <v>0</v>
      </c>
      <c r="K83" s="23">
        <f t="shared" ca="1" si="19"/>
        <v>0</v>
      </c>
      <c r="L83" s="23">
        <f t="shared" ca="1" si="37"/>
        <v>0</v>
      </c>
      <c r="M83" s="40"/>
      <c r="N83" s="20" t="str">
        <f ca="1">IF(Message&lt;&gt;"",Message,IF(OR($B83&gt;RealEstate!O$112,$B83&lt;RealEstate!O$111),0,RealEstate!O$109*(1+inflation+RealEstate!O$110)^$A83))</f>
        <v>EXPIRED</v>
      </c>
      <c r="O83" s="23" t="str">
        <f t="shared" ca="1" si="41"/>
        <v>EXPIRED</v>
      </c>
      <c r="P83" s="23" t="str">
        <f ca="1">IF(Message&lt;&gt;"",Message,IF($B83=RealEstate!O$111,N83*(1+$C$3),0)+IF(B83=RealEstate!O$112,-N83*(1-$C$2),0))</f>
        <v>EXPIRED</v>
      </c>
      <c r="Q83" s="53" t="str">
        <f ca="1">IF(Message&lt;&gt;"",Message,+IF(P83&lt;0,MAX(0,N83 - RealEstate!O$109*(1+RealEstate!O$110)^(MAX(age,RealEstate!O$111)-age)-Taxes!$B$11*$C83),0))</f>
        <v>EXPIRED</v>
      </c>
      <c r="R83" s="43" t="str">
        <f ca="1">IF(Message&lt;&gt;"",Message,IF(AND(P83&lt;=0,N83&gt;0),+N83*RealEstate!O$117,0))</f>
        <v>EXPIRED</v>
      </c>
      <c r="S83" s="23" t="str">
        <f ca="1">IF(Message&lt;&gt;"",Message,IF(AND(P83&lt;=0,N83&gt;0),+N83*RealEstate!O$118,0))</f>
        <v>EXPIRED</v>
      </c>
      <c r="T83" s="23" t="str">
        <f ca="1">IF(Message&lt;&gt;"",Message,IF(AND(P83&lt;=0,N83&gt;0),+RealEstate!O$119*$C83,0))</f>
        <v>EXPIRED</v>
      </c>
      <c r="U83" s="44" t="str">
        <f ca="1">IF(Message&lt;&gt;"",Message,IF(AND(P83&lt;=0,N83&gt;0),+RealEstate!O$120*$C83,0))</f>
        <v>EXPIRED</v>
      </c>
      <c r="V83" s="23" t="str">
        <f ca="1">IF(Message&lt;&gt;"",Message,+X82*RealEstate!O$115)</f>
        <v>EXPIRED</v>
      </c>
      <c r="W83" s="23" t="str">
        <f ca="1">IF(Message&lt;&gt;"",Message,+IF(P83&gt;0,-P83*RealEstate!O$113,IF(X82&lt;=0.1,0,IF(N84=0,X82,IF(W82&gt;0,SUM(V82:W82)-V83,X82/100000*O$116-V83)))))</f>
        <v>EXPIRED</v>
      </c>
      <c r="X83" s="44" t="str">
        <f ca="1">IF(Message&lt;&gt;"",Message,+IF(P83&gt;0,P83*RealEstate!O$113,X82-W83))</f>
        <v>EXPIRED</v>
      </c>
      <c r="Y83" s="20" t="str">
        <f t="shared" ca="1" si="42"/>
        <v>EXPIRED</v>
      </c>
      <c r="Z83" s="40"/>
      <c r="AA83" s="20" t="str">
        <f ca="1">IF(Message&lt;&gt;"",Message,IF(OR($B83&gt;RealEstate!AB$112,$B83&lt;RealEstate!AB$111),0,RealEstate!AB$109*(1+inflation+RealEstate!AB$110)^$A83))</f>
        <v>EXPIRED</v>
      </c>
      <c r="AB83" s="23" t="str">
        <f t="shared" ca="1" si="43"/>
        <v>EXPIRED</v>
      </c>
      <c r="AC83" s="23" t="str">
        <f ca="1">IF(Message&lt;&gt;"",Message,IF($B83=RealEstate!AB$111,AA83*(1+$C$3),0)+IF(O83=RealEstate!AB$112,-AA83*(1-$C$2),0))</f>
        <v>EXPIRED</v>
      </c>
      <c r="AD83" s="53" t="str">
        <f ca="1">IF(Message&lt;&gt;"",Message,+IF(AC83&lt;0,MAX(0,AA83 - RealEstate!AB$109*(1+RealEstate!AB$110)^(MAX(age,RealEstate!AB$111)-age)-Taxes!$B$11*$C83),0))</f>
        <v>EXPIRED</v>
      </c>
      <c r="AE83" s="43" t="str">
        <f ca="1">IF(Message&lt;&gt;"",Message,IF(AND(AC83&lt;=0,AA83&gt;0),+AA83*RealEstate!AB$117,0))</f>
        <v>EXPIRED</v>
      </c>
      <c r="AF83" s="23" t="str">
        <f ca="1">IF(Message&lt;&gt;"",Message,IF(AND(AC83&lt;=0,AA83&gt;0),+AA83*RealEstate!AB$118,0))</f>
        <v>EXPIRED</v>
      </c>
      <c r="AG83" s="23" t="str">
        <f ca="1">IF(Message&lt;&gt;"",Message,IF(AND(AC83&lt;=0,AA83&gt;0),+RealEstate!AB$119*$C83,0))</f>
        <v>EXPIRED</v>
      </c>
      <c r="AH83" s="44" t="str">
        <f ca="1">IF(Message&lt;&gt;"",Message,IF(AND(AC83&lt;=0,AA83&gt;0),+RealEstate!AB$120*$C83,0))</f>
        <v>EXPIRED</v>
      </c>
      <c r="AI83" s="23" t="str">
        <f ca="1">IF(Message&lt;&gt;"",Message,+AK82*RealEstate!AB$115)</f>
        <v>EXPIRED</v>
      </c>
      <c r="AJ83" s="23" t="str">
        <f ca="1">IF(Message&lt;&gt;"",Message,+IF(AC83&gt;0,-AC83*RealEstate!AB$113,IF(AK82&lt;=0.1,0,IF(AA84=0,AK82,IF(AJ82&gt;0,SUM(AI82:AJ82)-AI83,AK82/100000*AB$116-AI83)))))</f>
        <v>EXPIRED</v>
      </c>
      <c r="AK83" s="44" t="str">
        <f ca="1">IF(Message&lt;&gt;"",Message,+IF(AC83&gt;0,AC83*RealEstate!AB$113,AK82-AJ83))</f>
        <v>EXPIRED</v>
      </c>
      <c r="AL83" s="20" t="str">
        <f t="shared" ca="1" si="44"/>
        <v>EXPIRED</v>
      </c>
      <c r="AM83" s="40"/>
    </row>
    <row r="84" spans="1:39" x14ac:dyDescent="0.25">
      <c r="A84" s="14">
        <f t="shared" si="38"/>
        <v>79</v>
      </c>
      <c r="B84" s="14">
        <f t="shared" si="38"/>
        <v>119</v>
      </c>
      <c r="C84" s="38">
        <f t="shared" si="32"/>
        <v>4.7798423098984184</v>
      </c>
      <c r="E84" s="23">
        <f t="shared" ca="1" si="33"/>
        <v>0</v>
      </c>
      <c r="F84" s="20">
        <f t="shared" ca="1" si="39"/>
        <v>0</v>
      </c>
      <c r="G84" s="20">
        <f t="shared" ca="1" si="40"/>
        <v>0</v>
      </c>
      <c r="H84" s="23">
        <f t="shared" ca="1" si="34"/>
        <v>0</v>
      </c>
      <c r="I84" s="20">
        <f t="shared" ca="1" si="35"/>
        <v>0</v>
      </c>
      <c r="J84" s="20">
        <f t="shared" ca="1" si="36"/>
        <v>0</v>
      </c>
      <c r="K84" s="23">
        <f t="shared" ca="1" si="19"/>
        <v>0</v>
      </c>
      <c r="L84" s="23">
        <f t="shared" ca="1" si="37"/>
        <v>0</v>
      </c>
      <c r="M84" s="40"/>
      <c r="N84" s="20" t="str">
        <f ca="1">IF(Message&lt;&gt;"",Message,IF(OR($B84&gt;RealEstate!O$112,$B84&lt;RealEstate!O$111),0,RealEstate!O$109*(1+inflation+RealEstate!O$110)^$A84))</f>
        <v>EXPIRED</v>
      </c>
      <c r="O84" s="23" t="str">
        <f t="shared" ca="1" si="41"/>
        <v>EXPIRED</v>
      </c>
      <c r="P84" s="23" t="str">
        <f ca="1">IF(Message&lt;&gt;"",Message,IF($B84=RealEstate!O$111,N84*(1+$C$3),0)+IF(B84=RealEstate!O$112,-N84*(1-$C$2),0))</f>
        <v>EXPIRED</v>
      </c>
      <c r="Q84" s="53" t="str">
        <f ca="1">IF(Message&lt;&gt;"",Message,+IF(P84&lt;0,MAX(0,N84 - RealEstate!O$109*(1+RealEstate!O$110)^(MAX(age,RealEstate!O$111)-age)-Taxes!$B$11*$C84),0))</f>
        <v>EXPIRED</v>
      </c>
      <c r="R84" s="43" t="str">
        <f ca="1">IF(Message&lt;&gt;"",Message,IF(AND(P84&lt;=0,N84&gt;0),+N84*RealEstate!O$117,0))</f>
        <v>EXPIRED</v>
      </c>
      <c r="S84" s="23" t="str">
        <f ca="1">IF(Message&lt;&gt;"",Message,IF(AND(P84&lt;=0,N84&gt;0),+N84*RealEstate!O$118,0))</f>
        <v>EXPIRED</v>
      </c>
      <c r="T84" s="23" t="str">
        <f ca="1">IF(Message&lt;&gt;"",Message,IF(AND(P84&lt;=0,N84&gt;0),+RealEstate!O$119*$C84,0))</f>
        <v>EXPIRED</v>
      </c>
      <c r="U84" s="44" t="str">
        <f ca="1">IF(Message&lt;&gt;"",Message,IF(AND(P84&lt;=0,N84&gt;0),+RealEstate!O$120*$C84,0))</f>
        <v>EXPIRED</v>
      </c>
      <c r="V84" s="23" t="str">
        <f ca="1">IF(Message&lt;&gt;"",Message,+X83*RealEstate!O$115)</f>
        <v>EXPIRED</v>
      </c>
      <c r="W84" s="23" t="str">
        <f ca="1">IF(Message&lt;&gt;"",Message,+IF(P84&gt;0,-P84*RealEstate!O$113,IF(X83&lt;=0.1,0,IF(N85=0,X83,IF(W83&gt;0,SUM(V83:W83)-V84,X83/100000*O$116-V84)))))</f>
        <v>EXPIRED</v>
      </c>
      <c r="X84" s="44" t="str">
        <f ca="1">IF(Message&lt;&gt;"",Message,+IF(P84&gt;0,P84*RealEstate!O$113,X83-W84))</f>
        <v>EXPIRED</v>
      </c>
      <c r="Y84" s="20" t="str">
        <f t="shared" ca="1" si="42"/>
        <v>EXPIRED</v>
      </c>
      <c r="Z84" s="40"/>
      <c r="AA84" s="20" t="str">
        <f ca="1">IF(Message&lt;&gt;"",Message,IF(OR($B84&gt;RealEstate!AB$112,$B84&lt;RealEstate!AB$111),0,RealEstate!AB$109*(1+inflation+RealEstate!AB$110)^$A84))</f>
        <v>EXPIRED</v>
      </c>
      <c r="AB84" s="23" t="str">
        <f t="shared" ca="1" si="43"/>
        <v>EXPIRED</v>
      </c>
      <c r="AC84" s="23" t="str">
        <f ca="1">IF(Message&lt;&gt;"",Message,IF($B84=RealEstate!AB$111,AA84*(1+$C$3),0)+IF(O84=RealEstate!AB$112,-AA84*(1-$C$2),0))</f>
        <v>EXPIRED</v>
      </c>
      <c r="AD84" s="53" t="str">
        <f ca="1">IF(Message&lt;&gt;"",Message,+IF(AC84&lt;0,MAX(0,AA84 - RealEstate!AB$109*(1+RealEstate!AB$110)^(MAX(age,RealEstate!AB$111)-age)-Taxes!$B$11*$C84),0))</f>
        <v>EXPIRED</v>
      </c>
      <c r="AE84" s="43" t="str">
        <f ca="1">IF(Message&lt;&gt;"",Message,IF(AND(AC84&lt;=0,AA84&gt;0),+AA84*RealEstate!AB$117,0))</f>
        <v>EXPIRED</v>
      </c>
      <c r="AF84" s="23" t="str">
        <f ca="1">IF(Message&lt;&gt;"",Message,IF(AND(AC84&lt;=0,AA84&gt;0),+AA84*RealEstate!AB$118,0))</f>
        <v>EXPIRED</v>
      </c>
      <c r="AG84" s="23" t="str">
        <f ca="1">IF(Message&lt;&gt;"",Message,IF(AND(AC84&lt;=0,AA84&gt;0),+RealEstate!AB$119*$C84,0))</f>
        <v>EXPIRED</v>
      </c>
      <c r="AH84" s="44" t="str">
        <f ca="1">IF(Message&lt;&gt;"",Message,IF(AND(AC84&lt;=0,AA84&gt;0),+RealEstate!AB$120*$C84,0))</f>
        <v>EXPIRED</v>
      </c>
      <c r="AI84" s="23" t="str">
        <f ca="1">IF(Message&lt;&gt;"",Message,+AK83*RealEstate!AB$115)</f>
        <v>EXPIRED</v>
      </c>
      <c r="AJ84" s="23" t="str">
        <f ca="1">IF(Message&lt;&gt;"",Message,+IF(AC84&gt;0,-AC84*RealEstate!AB$113,IF(AK83&lt;=0.1,0,IF(AA85=0,AK83,IF(AJ83&gt;0,SUM(AI83:AJ83)-AI84,AK83/100000*AB$116-AI84)))))</f>
        <v>EXPIRED</v>
      </c>
      <c r="AK84" s="44" t="str">
        <f ca="1">IF(Message&lt;&gt;"",Message,+IF(AC84&gt;0,AC84*RealEstate!AB$113,AK83-AJ84))</f>
        <v>EXPIRED</v>
      </c>
      <c r="AL84" s="20" t="str">
        <f t="shared" ca="1" si="44"/>
        <v>EXPIRED</v>
      </c>
      <c r="AM84" s="40"/>
    </row>
    <row r="85" spans="1:39" x14ac:dyDescent="0.25">
      <c r="A85" s="14">
        <f t="shared" si="38"/>
        <v>80</v>
      </c>
      <c r="B85" s="14">
        <f t="shared" si="38"/>
        <v>120</v>
      </c>
      <c r="C85" s="38">
        <f t="shared" si="32"/>
        <v>4.8754391560963874</v>
      </c>
      <c r="E85" s="23">
        <f t="shared" ca="1" si="33"/>
        <v>0</v>
      </c>
      <c r="F85" s="20">
        <f t="shared" ca="1" si="39"/>
        <v>0</v>
      </c>
      <c r="G85" s="20">
        <f t="shared" ca="1" si="40"/>
        <v>0</v>
      </c>
      <c r="H85" s="23">
        <f t="shared" ca="1" si="34"/>
        <v>0</v>
      </c>
      <c r="I85" s="20">
        <f t="shared" ca="1" si="35"/>
        <v>0</v>
      </c>
      <c r="J85" s="20">
        <f t="shared" ca="1" si="36"/>
        <v>0</v>
      </c>
      <c r="K85" s="23">
        <f t="shared" ca="1" si="19"/>
        <v>0</v>
      </c>
      <c r="L85" s="23">
        <f t="shared" ca="1" si="37"/>
        <v>0</v>
      </c>
      <c r="M85" s="40"/>
      <c r="N85" s="20" t="str">
        <f ca="1">IF(Message&lt;&gt;"",Message,IF(OR($B85&gt;RealEstate!O$112,$B85&lt;RealEstate!O$111),0,RealEstate!O$109*(1+inflation+RealEstate!O$110)^$A85))</f>
        <v>EXPIRED</v>
      </c>
      <c r="O85" s="23" t="str">
        <f t="shared" ca="1" si="41"/>
        <v>EXPIRED</v>
      </c>
      <c r="P85" s="23" t="str">
        <f ca="1">IF(Message&lt;&gt;"",Message,IF($B85=RealEstate!O$111,N85*(1+$C$3),0)+IF(B85=RealEstate!O$112,-N85*(1-$C$2),0))</f>
        <v>EXPIRED</v>
      </c>
      <c r="Q85" s="53" t="str">
        <f ca="1">IF(Message&lt;&gt;"",Message,+IF(P85&lt;0,MAX(0,N85 - RealEstate!O$109*(1+RealEstate!O$110)^(MAX(age,RealEstate!O$111)-age)-Taxes!$B$11*$C85),0))</f>
        <v>EXPIRED</v>
      </c>
      <c r="R85" s="43" t="str">
        <f ca="1">IF(Message&lt;&gt;"",Message,IF(AND(P85&lt;=0,N85&gt;0),+N85*RealEstate!O$117,0))</f>
        <v>EXPIRED</v>
      </c>
      <c r="S85" s="23" t="str">
        <f ca="1">IF(Message&lt;&gt;"",Message,IF(AND(P85&lt;=0,N85&gt;0),+N85*RealEstate!O$118,0))</f>
        <v>EXPIRED</v>
      </c>
      <c r="T85" s="23" t="str">
        <f ca="1">IF(Message&lt;&gt;"",Message,IF(AND(P85&lt;=0,N85&gt;0),+RealEstate!O$119*$C85,0))</f>
        <v>EXPIRED</v>
      </c>
      <c r="U85" s="44" t="str">
        <f ca="1">IF(Message&lt;&gt;"",Message,IF(AND(P85&lt;=0,N85&gt;0),+RealEstate!O$120*$C85,0))</f>
        <v>EXPIRED</v>
      </c>
      <c r="V85" s="23" t="str">
        <f ca="1">IF(Message&lt;&gt;"",Message,+X84*RealEstate!O$115)</f>
        <v>EXPIRED</v>
      </c>
      <c r="W85" s="23" t="str">
        <f ca="1">IF(Message&lt;&gt;"",Message,+IF(P85&gt;0,-P85*RealEstate!O$113,IF(X84&lt;=0.1,0,IF(N86=0,X84,IF(W84&gt;0,SUM(V84:W84)-V85,X84/100000*O$116-V85)))))</f>
        <v>EXPIRED</v>
      </c>
      <c r="X85" s="44" t="str">
        <f ca="1">IF(Message&lt;&gt;"",Message,+IF(P85&gt;0,P85*RealEstate!O$113,X84-W85))</f>
        <v>EXPIRED</v>
      </c>
      <c r="Y85" s="20" t="str">
        <f t="shared" ca="1" si="42"/>
        <v>EXPIRED</v>
      </c>
      <c r="Z85" s="40"/>
      <c r="AA85" s="20" t="str">
        <f ca="1">IF(Message&lt;&gt;"",Message,IF(OR($B85&gt;RealEstate!AB$112,$B85&lt;RealEstate!AB$111),0,RealEstate!AB$109*(1+inflation+RealEstate!AB$110)^$A85))</f>
        <v>EXPIRED</v>
      </c>
      <c r="AB85" s="23" t="str">
        <f t="shared" ca="1" si="43"/>
        <v>EXPIRED</v>
      </c>
      <c r="AC85" s="23" t="str">
        <f ca="1">IF(Message&lt;&gt;"",Message,IF($B85=RealEstate!AB$111,AA85*(1+$C$3),0)+IF(O85=RealEstate!AB$112,-AA85*(1-$C$2),0))</f>
        <v>EXPIRED</v>
      </c>
      <c r="AD85" s="53" t="str">
        <f ca="1">IF(Message&lt;&gt;"",Message,+IF(AC85&lt;0,MAX(0,AA85 - RealEstate!AB$109*(1+RealEstate!AB$110)^(MAX(age,RealEstate!AB$111)-age)-Taxes!$B$11*$C85),0))</f>
        <v>EXPIRED</v>
      </c>
      <c r="AE85" s="43" t="str">
        <f ca="1">IF(Message&lt;&gt;"",Message,IF(AND(AC85&lt;=0,AA85&gt;0),+AA85*RealEstate!AB$117,0))</f>
        <v>EXPIRED</v>
      </c>
      <c r="AF85" s="23" t="str">
        <f ca="1">IF(Message&lt;&gt;"",Message,IF(AND(AC85&lt;=0,AA85&gt;0),+AA85*RealEstate!AB$118,0))</f>
        <v>EXPIRED</v>
      </c>
      <c r="AG85" s="23" t="str">
        <f ca="1">IF(Message&lt;&gt;"",Message,IF(AND(AC85&lt;=0,AA85&gt;0),+RealEstate!AB$119*$C85,0))</f>
        <v>EXPIRED</v>
      </c>
      <c r="AH85" s="44" t="str">
        <f ca="1">IF(Message&lt;&gt;"",Message,IF(AND(AC85&lt;=0,AA85&gt;0),+RealEstate!AB$120*$C85,0))</f>
        <v>EXPIRED</v>
      </c>
      <c r="AI85" s="23" t="str">
        <f ca="1">IF(Message&lt;&gt;"",Message,+AK84*RealEstate!AB$115)</f>
        <v>EXPIRED</v>
      </c>
      <c r="AJ85" s="23" t="str">
        <f ca="1">IF(Message&lt;&gt;"",Message,+IF(AC85&gt;0,-AC85*RealEstate!AB$113,IF(AK84&lt;=0.1,0,IF(AA86=0,AK84,IF(AJ84&gt;0,SUM(AI84:AJ84)-AI85,AK84/100000*AB$116-AI85)))))</f>
        <v>EXPIRED</v>
      </c>
      <c r="AK85" s="44" t="str">
        <f ca="1">IF(Message&lt;&gt;"",Message,+IF(AC85&gt;0,AC85*RealEstate!AB$113,AK84-AJ85))</f>
        <v>EXPIRED</v>
      </c>
      <c r="AL85" s="20" t="str">
        <f t="shared" ca="1" si="44"/>
        <v>EXPIRED</v>
      </c>
      <c r="AM85" s="40"/>
    </row>
    <row r="86" spans="1:39" x14ac:dyDescent="0.25">
      <c r="A86" s="14">
        <f t="shared" si="38"/>
        <v>81</v>
      </c>
      <c r="B86" s="14">
        <f t="shared" si="38"/>
        <v>121</v>
      </c>
      <c r="C86" s="38">
        <f t="shared" si="32"/>
        <v>4.9729479392183151</v>
      </c>
      <c r="E86" s="23">
        <f t="shared" ca="1" si="33"/>
        <v>0</v>
      </c>
      <c r="F86" s="20">
        <f t="shared" ca="1" si="39"/>
        <v>0</v>
      </c>
      <c r="G86" s="20">
        <f t="shared" ca="1" si="40"/>
        <v>0</v>
      </c>
      <c r="H86" s="23">
        <f t="shared" ca="1" si="34"/>
        <v>0</v>
      </c>
      <c r="I86" s="20">
        <f t="shared" ca="1" si="35"/>
        <v>0</v>
      </c>
      <c r="J86" s="20">
        <f t="shared" ca="1" si="36"/>
        <v>0</v>
      </c>
      <c r="K86" s="23">
        <f t="shared" ca="1" si="19"/>
        <v>0</v>
      </c>
      <c r="L86" s="23">
        <f t="shared" ca="1" si="37"/>
        <v>0</v>
      </c>
      <c r="M86" s="40"/>
      <c r="N86" s="20" t="str">
        <f ca="1">IF(Message&lt;&gt;"",Message,IF(OR($B86&gt;RealEstate!O$112,$B86&lt;RealEstate!O$111),0,RealEstate!O$109*(1+inflation+RealEstate!O$110)^$A86))</f>
        <v>EXPIRED</v>
      </c>
      <c r="O86" s="23" t="str">
        <f t="shared" ca="1" si="41"/>
        <v>EXPIRED</v>
      </c>
      <c r="P86" s="23" t="str">
        <f ca="1">IF(Message&lt;&gt;"",Message,IF($B86=RealEstate!O$111,N86*(1+$C$3),0)+IF(B86=RealEstate!O$112,-N86*(1-$C$2),0))</f>
        <v>EXPIRED</v>
      </c>
      <c r="Q86" s="53" t="str">
        <f ca="1">IF(Message&lt;&gt;"",Message,+IF(P86&lt;0,MAX(0,N86 - RealEstate!O$109*(1+RealEstate!O$110)^(MAX(age,RealEstate!O$111)-age)-Taxes!$B$11*$C86),0))</f>
        <v>EXPIRED</v>
      </c>
      <c r="R86" s="43" t="str">
        <f ca="1">IF(Message&lt;&gt;"",Message,IF(AND(P86&lt;=0,N86&gt;0),+N86*RealEstate!O$117,0))</f>
        <v>EXPIRED</v>
      </c>
      <c r="S86" s="23" t="str">
        <f ca="1">IF(Message&lt;&gt;"",Message,IF(AND(P86&lt;=0,N86&gt;0),+N86*RealEstate!O$118,0))</f>
        <v>EXPIRED</v>
      </c>
      <c r="T86" s="23" t="str">
        <f ca="1">IF(Message&lt;&gt;"",Message,IF(AND(P86&lt;=0,N86&gt;0),+RealEstate!O$119*$C86,0))</f>
        <v>EXPIRED</v>
      </c>
      <c r="U86" s="44" t="str">
        <f ca="1">IF(Message&lt;&gt;"",Message,IF(AND(P86&lt;=0,N86&gt;0),+RealEstate!O$120*$C86,0))</f>
        <v>EXPIRED</v>
      </c>
      <c r="V86" s="23" t="str">
        <f ca="1">IF(Message&lt;&gt;"",Message,+X85*RealEstate!O$115)</f>
        <v>EXPIRED</v>
      </c>
      <c r="W86" s="23" t="str">
        <f ca="1">IF(Message&lt;&gt;"",Message,+IF(P86&gt;0,-P86*RealEstate!O$113,IF(X85&lt;=0.1,0,IF(N87=0,X85,IF(W85&gt;0,SUM(V85:W85)-V86,X85/100000*O$116-V86)))))</f>
        <v>EXPIRED</v>
      </c>
      <c r="X86" s="44" t="str">
        <f ca="1">IF(Message&lt;&gt;"",Message,+IF(P86&gt;0,P86*RealEstate!O$113,X85-W86))</f>
        <v>EXPIRED</v>
      </c>
      <c r="Y86" s="20" t="str">
        <f t="shared" ca="1" si="42"/>
        <v>EXPIRED</v>
      </c>
      <c r="Z86" s="40"/>
      <c r="AA86" s="20" t="str">
        <f ca="1">IF(Message&lt;&gt;"",Message,IF(OR($B86&gt;RealEstate!AB$112,$B86&lt;RealEstate!AB$111),0,RealEstate!AB$109*(1+inflation+RealEstate!AB$110)^$A86))</f>
        <v>EXPIRED</v>
      </c>
      <c r="AB86" s="23" t="str">
        <f t="shared" ca="1" si="43"/>
        <v>EXPIRED</v>
      </c>
      <c r="AC86" s="23" t="str">
        <f ca="1">IF(Message&lt;&gt;"",Message,IF($B86=RealEstate!AB$111,AA86*(1+$C$3),0)+IF(O86=RealEstate!AB$112,-AA86*(1-$C$2),0))</f>
        <v>EXPIRED</v>
      </c>
      <c r="AD86" s="53" t="str">
        <f ca="1">IF(Message&lt;&gt;"",Message,+IF(AC86&lt;0,MAX(0,AA86 - RealEstate!AB$109*(1+RealEstate!AB$110)^(MAX(age,RealEstate!AB$111)-age)-Taxes!$B$11*$C86),0))</f>
        <v>EXPIRED</v>
      </c>
      <c r="AE86" s="43" t="str">
        <f ca="1">IF(Message&lt;&gt;"",Message,IF(AND(AC86&lt;=0,AA86&gt;0),+AA86*RealEstate!AB$117,0))</f>
        <v>EXPIRED</v>
      </c>
      <c r="AF86" s="23" t="str">
        <f ca="1">IF(Message&lt;&gt;"",Message,IF(AND(AC86&lt;=0,AA86&gt;0),+AA86*RealEstate!AB$118,0))</f>
        <v>EXPIRED</v>
      </c>
      <c r="AG86" s="23" t="str">
        <f ca="1">IF(Message&lt;&gt;"",Message,IF(AND(AC86&lt;=0,AA86&gt;0),+RealEstate!AB$119*$C86,0))</f>
        <v>EXPIRED</v>
      </c>
      <c r="AH86" s="44" t="str">
        <f ca="1">IF(Message&lt;&gt;"",Message,IF(AND(AC86&lt;=0,AA86&gt;0),+RealEstate!AB$120*$C86,0))</f>
        <v>EXPIRED</v>
      </c>
      <c r="AI86" s="23" t="str">
        <f ca="1">IF(Message&lt;&gt;"",Message,+AK85*RealEstate!AB$115)</f>
        <v>EXPIRED</v>
      </c>
      <c r="AJ86" s="23" t="str">
        <f ca="1">IF(Message&lt;&gt;"",Message,+IF(AC86&gt;0,-AC86*RealEstate!AB$113,IF(AK85&lt;=0.1,0,IF(AA87=0,AK85,IF(AJ85&gt;0,SUM(AI85:AJ85)-AI86,AK85/100000*AB$116-AI86)))))</f>
        <v>EXPIRED</v>
      </c>
      <c r="AK86" s="44" t="str">
        <f ca="1">IF(Message&lt;&gt;"",Message,+IF(AC86&gt;0,AC86*RealEstate!AB$113,AK85-AJ86))</f>
        <v>EXPIRED</v>
      </c>
      <c r="AL86" s="20" t="str">
        <f t="shared" ca="1" si="44"/>
        <v>EXPIRED</v>
      </c>
      <c r="AM86" s="40"/>
    </row>
    <row r="87" spans="1:39" x14ac:dyDescent="0.25">
      <c r="A87" s="14">
        <f t="shared" ref="A87:B102" si="45">+A86+1</f>
        <v>82</v>
      </c>
      <c r="B87" s="14">
        <f t="shared" si="45"/>
        <v>122</v>
      </c>
      <c r="C87" s="38">
        <f t="shared" si="32"/>
        <v>5.0724068980026811</v>
      </c>
      <c r="E87" s="23">
        <f t="shared" ca="1" si="33"/>
        <v>0</v>
      </c>
      <c r="F87" s="20">
        <f t="shared" ca="1" si="39"/>
        <v>0</v>
      </c>
      <c r="G87" s="20">
        <f t="shared" ca="1" si="40"/>
        <v>0</v>
      </c>
      <c r="H87" s="23">
        <f t="shared" ca="1" si="34"/>
        <v>0</v>
      </c>
      <c r="I87" s="20">
        <f t="shared" ca="1" si="35"/>
        <v>0</v>
      </c>
      <c r="J87" s="20">
        <f t="shared" ca="1" si="36"/>
        <v>0</v>
      </c>
      <c r="K87" s="23">
        <f t="shared" ca="1" si="19"/>
        <v>0</v>
      </c>
      <c r="L87" s="23">
        <f t="shared" ca="1" si="37"/>
        <v>0</v>
      </c>
      <c r="M87" s="40"/>
      <c r="N87" s="20" t="str">
        <f ca="1">IF(Message&lt;&gt;"",Message,IF(OR($B87&gt;RealEstate!O$112,$B87&lt;RealEstate!O$111),0,RealEstate!O$109*(1+inflation+RealEstate!O$110)^$A87))</f>
        <v>EXPIRED</v>
      </c>
      <c r="O87" s="23" t="str">
        <f t="shared" ca="1" si="41"/>
        <v>EXPIRED</v>
      </c>
      <c r="P87" s="23" t="str">
        <f ca="1">IF(Message&lt;&gt;"",Message,IF($B87=RealEstate!O$111,N87*(1+$C$3),0)+IF(B87=RealEstate!O$112,-N87*(1-$C$2),0))</f>
        <v>EXPIRED</v>
      </c>
      <c r="Q87" s="53" t="str">
        <f ca="1">IF(Message&lt;&gt;"",Message,+IF(P87&lt;0,MAX(0,N87 - RealEstate!O$109*(1+RealEstate!O$110)^(MAX(age,RealEstate!O$111)-age)-Taxes!$B$11*$C87),0))</f>
        <v>EXPIRED</v>
      </c>
      <c r="R87" s="43" t="str">
        <f ca="1">IF(Message&lt;&gt;"",Message,IF(AND(P87&lt;=0,N87&gt;0),+N87*RealEstate!O$117,0))</f>
        <v>EXPIRED</v>
      </c>
      <c r="S87" s="23" t="str">
        <f ca="1">IF(Message&lt;&gt;"",Message,IF(AND(P87&lt;=0,N87&gt;0),+N87*RealEstate!O$118,0))</f>
        <v>EXPIRED</v>
      </c>
      <c r="T87" s="23" t="str">
        <f ca="1">IF(Message&lt;&gt;"",Message,IF(AND(P87&lt;=0,N87&gt;0),+RealEstate!O$119*$C87,0))</f>
        <v>EXPIRED</v>
      </c>
      <c r="U87" s="44" t="str">
        <f ca="1">IF(Message&lt;&gt;"",Message,IF(AND(P87&lt;=0,N87&gt;0),+RealEstate!O$120*$C87,0))</f>
        <v>EXPIRED</v>
      </c>
      <c r="V87" s="23" t="str">
        <f ca="1">IF(Message&lt;&gt;"",Message,+X86*RealEstate!O$115)</f>
        <v>EXPIRED</v>
      </c>
      <c r="W87" s="23" t="str">
        <f ca="1">IF(Message&lt;&gt;"",Message,+IF(P87&gt;0,-P87*RealEstate!O$113,IF(X86&lt;=0.1,0,IF(N88=0,X86,IF(W86&gt;0,SUM(V86:W86)-V87,X86/100000*O$116-V87)))))</f>
        <v>EXPIRED</v>
      </c>
      <c r="X87" s="44" t="str">
        <f ca="1">IF(Message&lt;&gt;"",Message,+IF(P87&gt;0,P87*RealEstate!O$113,X86-W87))</f>
        <v>EXPIRED</v>
      </c>
      <c r="Y87" s="20" t="str">
        <f t="shared" ca="1" si="42"/>
        <v>EXPIRED</v>
      </c>
      <c r="Z87" s="40"/>
      <c r="AA87" s="20" t="str">
        <f ca="1">IF(Message&lt;&gt;"",Message,IF(OR($B87&gt;RealEstate!AB$112,$B87&lt;RealEstate!AB$111),0,RealEstate!AB$109*(1+inflation+RealEstate!AB$110)^$A87))</f>
        <v>EXPIRED</v>
      </c>
      <c r="AB87" s="23" t="str">
        <f t="shared" ca="1" si="43"/>
        <v>EXPIRED</v>
      </c>
      <c r="AC87" s="23" t="str">
        <f ca="1">IF(Message&lt;&gt;"",Message,IF($B87=RealEstate!AB$111,AA87*(1+$C$3),0)+IF(O87=RealEstate!AB$112,-AA87*(1-$C$2),0))</f>
        <v>EXPIRED</v>
      </c>
      <c r="AD87" s="53" t="str">
        <f ca="1">IF(Message&lt;&gt;"",Message,+IF(AC87&lt;0,MAX(0,AA87 - RealEstate!AB$109*(1+RealEstate!AB$110)^(MAX(age,RealEstate!AB$111)-age)-Taxes!$B$11*$C87),0))</f>
        <v>EXPIRED</v>
      </c>
      <c r="AE87" s="43" t="str">
        <f ca="1">IF(Message&lt;&gt;"",Message,IF(AND(AC87&lt;=0,AA87&gt;0),+AA87*RealEstate!AB$117,0))</f>
        <v>EXPIRED</v>
      </c>
      <c r="AF87" s="23" t="str">
        <f ca="1">IF(Message&lt;&gt;"",Message,IF(AND(AC87&lt;=0,AA87&gt;0),+AA87*RealEstate!AB$118,0))</f>
        <v>EXPIRED</v>
      </c>
      <c r="AG87" s="23" t="str">
        <f ca="1">IF(Message&lt;&gt;"",Message,IF(AND(AC87&lt;=0,AA87&gt;0),+RealEstate!AB$119*$C87,0))</f>
        <v>EXPIRED</v>
      </c>
      <c r="AH87" s="44" t="str">
        <f ca="1">IF(Message&lt;&gt;"",Message,IF(AND(AC87&lt;=0,AA87&gt;0),+RealEstate!AB$120*$C87,0))</f>
        <v>EXPIRED</v>
      </c>
      <c r="AI87" s="23" t="str">
        <f ca="1">IF(Message&lt;&gt;"",Message,+AK86*RealEstate!AB$115)</f>
        <v>EXPIRED</v>
      </c>
      <c r="AJ87" s="23" t="str">
        <f ca="1">IF(Message&lt;&gt;"",Message,+IF(AC87&gt;0,-AC87*RealEstate!AB$113,IF(AK86&lt;=0.1,0,IF(AA88=0,AK86,IF(AJ86&gt;0,SUM(AI86:AJ86)-AI87,AK86/100000*AB$116-AI87)))))</f>
        <v>EXPIRED</v>
      </c>
      <c r="AK87" s="44" t="str">
        <f ca="1">IF(Message&lt;&gt;"",Message,+IF(AC87&gt;0,AC87*RealEstate!AB$113,AK86-AJ87))</f>
        <v>EXPIRED</v>
      </c>
      <c r="AL87" s="20" t="str">
        <f t="shared" ca="1" si="44"/>
        <v>EXPIRED</v>
      </c>
      <c r="AM87" s="40"/>
    </row>
    <row r="88" spans="1:39" x14ac:dyDescent="0.25">
      <c r="A88" s="14">
        <f t="shared" si="45"/>
        <v>83</v>
      </c>
      <c r="B88" s="14">
        <f t="shared" si="45"/>
        <v>123</v>
      </c>
      <c r="C88" s="38">
        <f t="shared" si="32"/>
        <v>5.1738550359627347</v>
      </c>
      <c r="E88" s="23">
        <f t="shared" ca="1" si="33"/>
        <v>0</v>
      </c>
      <c r="F88" s="20">
        <f t="shared" ca="1" si="39"/>
        <v>0</v>
      </c>
      <c r="G88" s="20">
        <f t="shared" ca="1" si="40"/>
        <v>0</v>
      </c>
      <c r="H88" s="23">
        <f t="shared" ca="1" si="34"/>
        <v>0</v>
      </c>
      <c r="I88" s="20">
        <f t="shared" ca="1" si="35"/>
        <v>0</v>
      </c>
      <c r="J88" s="20">
        <f t="shared" ca="1" si="36"/>
        <v>0</v>
      </c>
      <c r="K88" s="23">
        <f t="shared" ca="1" si="19"/>
        <v>0</v>
      </c>
      <c r="L88" s="23">
        <f t="shared" ca="1" si="37"/>
        <v>0</v>
      </c>
      <c r="M88" s="40"/>
      <c r="N88" s="20" t="str">
        <f ca="1">IF(Message&lt;&gt;"",Message,IF(OR($B88&gt;RealEstate!O$112,$B88&lt;RealEstate!O$111),0,RealEstate!O$109*(1+inflation+RealEstate!O$110)^$A88))</f>
        <v>EXPIRED</v>
      </c>
      <c r="O88" s="23" t="str">
        <f t="shared" ca="1" si="41"/>
        <v>EXPIRED</v>
      </c>
      <c r="P88" s="23" t="str">
        <f ca="1">IF(Message&lt;&gt;"",Message,IF($B88=RealEstate!O$111,N88*(1+$C$3),0)+IF(B88=RealEstate!O$112,-N88*(1-$C$2),0))</f>
        <v>EXPIRED</v>
      </c>
      <c r="Q88" s="53" t="str">
        <f ca="1">IF(Message&lt;&gt;"",Message,+IF(P88&lt;0,MAX(0,N88 - RealEstate!O$109*(1+RealEstate!O$110)^(MAX(age,RealEstate!O$111)-age)-Taxes!$B$11*$C88),0))</f>
        <v>EXPIRED</v>
      </c>
      <c r="R88" s="43" t="str">
        <f ca="1">IF(Message&lt;&gt;"",Message,IF(AND(P88&lt;=0,N88&gt;0),+N88*RealEstate!O$117,0))</f>
        <v>EXPIRED</v>
      </c>
      <c r="S88" s="23" t="str">
        <f ca="1">IF(Message&lt;&gt;"",Message,IF(AND(P88&lt;=0,N88&gt;0),+N88*RealEstate!O$118,0))</f>
        <v>EXPIRED</v>
      </c>
      <c r="T88" s="23" t="str">
        <f ca="1">IF(Message&lt;&gt;"",Message,IF(AND(P88&lt;=0,N88&gt;0),+RealEstate!O$119*$C88,0))</f>
        <v>EXPIRED</v>
      </c>
      <c r="U88" s="44" t="str">
        <f ca="1">IF(Message&lt;&gt;"",Message,IF(AND(P88&lt;=0,N88&gt;0),+RealEstate!O$120*$C88,0))</f>
        <v>EXPIRED</v>
      </c>
      <c r="V88" s="23" t="str">
        <f ca="1">IF(Message&lt;&gt;"",Message,+X87*RealEstate!O$115)</f>
        <v>EXPIRED</v>
      </c>
      <c r="W88" s="23" t="str">
        <f ca="1">IF(Message&lt;&gt;"",Message,+IF(P88&gt;0,-P88*RealEstate!O$113,IF(X87&lt;=0.1,0,IF(N89=0,X87,IF(W87&gt;0,SUM(V87:W87)-V88,X87/100000*O$116-V88)))))</f>
        <v>EXPIRED</v>
      </c>
      <c r="X88" s="44" t="str">
        <f ca="1">IF(Message&lt;&gt;"",Message,+IF(P88&gt;0,P88*RealEstate!O$113,X87-W88))</f>
        <v>EXPIRED</v>
      </c>
      <c r="Y88" s="20" t="str">
        <f t="shared" ca="1" si="42"/>
        <v>EXPIRED</v>
      </c>
      <c r="Z88" s="40"/>
      <c r="AA88" s="20" t="str">
        <f ca="1">IF(Message&lt;&gt;"",Message,IF(OR($B88&gt;RealEstate!AB$112,$B88&lt;RealEstate!AB$111),0,RealEstate!AB$109*(1+inflation+RealEstate!AB$110)^$A88))</f>
        <v>EXPIRED</v>
      </c>
      <c r="AB88" s="23" t="str">
        <f t="shared" ca="1" si="43"/>
        <v>EXPIRED</v>
      </c>
      <c r="AC88" s="23" t="str">
        <f ca="1">IF(Message&lt;&gt;"",Message,IF($B88=RealEstate!AB$111,AA88*(1+$C$3),0)+IF(O88=RealEstate!AB$112,-AA88*(1-$C$2),0))</f>
        <v>EXPIRED</v>
      </c>
      <c r="AD88" s="53" t="str">
        <f ca="1">IF(Message&lt;&gt;"",Message,+IF(AC88&lt;0,MAX(0,AA88 - RealEstate!AB$109*(1+RealEstate!AB$110)^(MAX(age,RealEstate!AB$111)-age)-Taxes!$B$11*$C88),0))</f>
        <v>EXPIRED</v>
      </c>
      <c r="AE88" s="43" t="str">
        <f ca="1">IF(Message&lt;&gt;"",Message,IF(AND(AC88&lt;=0,AA88&gt;0),+AA88*RealEstate!AB$117,0))</f>
        <v>EXPIRED</v>
      </c>
      <c r="AF88" s="23" t="str">
        <f ca="1">IF(Message&lt;&gt;"",Message,IF(AND(AC88&lt;=0,AA88&gt;0),+AA88*RealEstate!AB$118,0))</f>
        <v>EXPIRED</v>
      </c>
      <c r="AG88" s="23" t="str">
        <f ca="1">IF(Message&lt;&gt;"",Message,IF(AND(AC88&lt;=0,AA88&gt;0),+RealEstate!AB$119*$C88,0))</f>
        <v>EXPIRED</v>
      </c>
      <c r="AH88" s="44" t="str">
        <f ca="1">IF(Message&lt;&gt;"",Message,IF(AND(AC88&lt;=0,AA88&gt;0),+RealEstate!AB$120*$C88,0))</f>
        <v>EXPIRED</v>
      </c>
      <c r="AI88" s="23" t="str">
        <f ca="1">IF(Message&lt;&gt;"",Message,+AK87*RealEstate!AB$115)</f>
        <v>EXPIRED</v>
      </c>
      <c r="AJ88" s="23" t="str">
        <f ca="1">IF(Message&lt;&gt;"",Message,+IF(AC88&gt;0,-AC88*RealEstate!AB$113,IF(AK87&lt;=0.1,0,IF(AA89=0,AK87,IF(AJ87&gt;0,SUM(AI87:AJ87)-AI88,AK87/100000*AB$116-AI88)))))</f>
        <v>EXPIRED</v>
      </c>
      <c r="AK88" s="44" t="str">
        <f ca="1">IF(Message&lt;&gt;"",Message,+IF(AC88&gt;0,AC88*RealEstate!AB$113,AK87-AJ88))</f>
        <v>EXPIRED</v>
      </c>
      <c r="AL88" s="20" t="str">
        <f t="shared" ca="1" si="44"/>
        <v>EXPIRED</v>
      </c>
      <c r="AM88" s="40"/>
    </row>
    <row r="89" spans="1:39" x14ac:dyDescent="0.25">
      <c r="A89" s="14">
        <f t="shared" si="45"/>
        <v>84</v>
      </c>
      <c r="B89" s="14">
        <f t="shared" si="45"/>
        <v>124</v>
      </c>
      <c r="C89" s="38">
        <f t="shared" si="32"/>
        <v>5.2773321366819896</v>
      </c>
      <c r="E89" s="23">
        <f t="shared" ca="1" si="33"/>
        <v>0</v>
      </c>
      <c r="F89" s="20">
        <f t="shared" ca="1" si="39"/>
        <v>0</v>
      </c>
      <c r="G89" s="20">
        <f t="shared" ca="1" si="40"/>
        <v>0</v>
      </c>
      <c r="H89" s="23">
        <f t="shared" ca="1" si="34"/>
        <v>0</v>
      </c>
      <c r="I89" s="20">
        <f t="shared" ca="1" si="35"/>
        <v>0</v>
      </c>
      <c r="J89" s="20">
        <f t="shared" ca="1" si="36"/>
        <v>0</v>
      </c>
      <c r="K89" s="23">
        <f t="shared" ca="1" si="19"/>
        <v>0</v>
      </c>
      <c r="L89" s="23">
        <f t="shared" ca="1" si="37"/>
        <v>0</v>
      </c>
      <c r="M89" s="40"/>
      <c r="N89" s="20" t="str">
        <f ca="1">IF(Message&lt;&gt;"",Message,IF(OR($B89&gt;RealEstate!O$112,$B89&lt;RealEstate!O$111),0,RealEstate!O$109*(1+inflation+RealEstate!O$110)^$A89))</f>
        <v>EXPIRED</v>
      </c>
      <c r="O89" s="23" t="str">
        <f t="shared" ca="1" si="41"/>
        <v>EXPIRED</v>
      </c>
      <c r="P89" s="23" t="str">
        <f ca="1">IF(Message&lt;&gt;"",Message,IF($B89=RealEstate!O$111,N89*(1+$C$3),0)+IF(B89=RealEstate!O$112,-N89*(1-$C$2),0))</f>
        <v>EXPIRED</v>
      </c>
      <c r="Q89" s="53" t="str">
        <f ca="1">IF(Message&lt;&gt;"",Message,+IF(P89&lt;0,MAX(0,N89 - RealEstate!O$109*(1+RealEstate!O$110)^(MAX(age,RealEstate!O$111)-age)-Taxes!$B$11*$C89),0))</f>
        <v>EXPIRED</v>
      </c>
      <c r="R89" s="43" t="str">
        <f ca="1">IF(Message&lt;&gt;"",Message,IF(AND(P89&lt;=0,N89&gt;0),+N89*RealEstate!O$117,0))</f>
        <v>EXPIRED</v>
      </c>
      <c r="S89" s="23" t="str">
        <f ca="1">IF(Message&lt;&gt;"",Message,IF(AND(P89&lt;=0,N89&gt;0),+N89*RealEstate!O$118,0))</f>
        <v>EXPIRED</v>
      </c>
      <c r="T89" s="23" t="str">
        <f ca="1">IF(Message&lt;&gt;"",Message,IF(AND(P89&lt;=0,N89&gt;0),+RealEstate!O$119*$C89,0))</f>
        <v>EXPIRED</v>
      </c>
      <c r="U89" s="44" t="str">
        <f ca="1">IF(Message&lt;&gt;"",Message,IF(AND(P89&lt;=0,N89&gt;0),+RealEstate!O$120*$C89,0))</f>
        <v>EXPIRED</v>
      </c>
      <c r="V89" s="23" t="str">
        <f ca="1">IF(Message&lt;&gt;"",Message,+X88*RealEstate!O$115)</f>
        <v>EXPIRED</v>
      </c>
      <c r="W89" s="23" t="str">
        <f ca="1">IF(Message&lt;&gt;"",Message,+IF(P89&gt;0,-P89*RealEstate!O$113,IF(X88&lt;=0.1,0,IF(N90=0,X88,IF(W88&gt;0,SUM(V88:W88)-V89,X88/100000*O$116-V89)))))</f>
        <v>EXPIRED</v>
      </c>
      <c r="X89" s="44" t="str">
        <f ca="1">IF(Message&lt;&gt;"",Message,+IF(P89&gt;0,P89*RealEstate!O$113,X88-W89))</f>
        <v>EXPIRED</v>
      </c>
      <c r="Y89" s="20" t="str">
        <f t="shared" ca="1" si="42"/>
        <v>EXPIRED</v>
      </c>
      <c r="Z89" s="40"/>
      <c r="AA89" s="20" t="str">
        <f ca="1">IF(Message&lt;&gt;"",Message,IF(OR($B89&gt;RealEstate!AB$112,$B89&lt;RealEstate!AB$111),0,RealEstate!AB$109*(1+inflation+RealEstate!AB$110)^$A89))</f>
        <v>EXPIRED</v>
      </c>
      <c r="AB89" s="23" t="str">
        <f t="shared" ca="1" si="43"/>
        <v>EXPIRED</v>
      </c>
      <c r="AC89" s="23" t="str">
        <f ca="1">IF(Message&lt;&gt;"",Message,IF($B89=RealEstate!AB$111,AA89*(1+$C$3),0)+IF(O89=RealEstate!AB$112,-AA89*(1-$C$2),0))</f>
        <v>EXPIRED</v>
      </c>
      <c r="AD89" s="53" t="str">
        <f ca="1">IF(Message&lt;&gt;"",Message,+IF(AC89&lt;0,MAX(0,AA89 - RealEstate!AB$109*(1+RealEstate!AB$110)^(MAX(age,RealEstate!AB$111)-age)-Taxes!$B$11*$C89),0))</f>
        <v>EXPIRED</v>
      </c>
      <c r="AE89" s="43" t="str">
        <f ca="1">IF(Message&lt;&gt;"",Message,IF(AND(AC89&lt;=0,AA89&gt;0),+AA89*RealEstate!AB$117,0))</f>
        <v>EXPIRED</v>
      </c>
      <c r="AF89" s="23" t="str">
        <f ca="1">IF(Message&lt;&gt;"",Message,IF(AND(AC89&lt;=0,AA89&gt;0),+AA89*RealEstate!AB$118,0))</f>
        <v>EXPIRED</v>
      </c>
      <c r="AG89" s="23" t="str">
        <f ca="1">IF(Message&lt;&gt;"",Message,IF(AND(AC89&lt;=0,AA89&gt;0),+RealEstate!AB$119*$C89,0))</f>
        <v>EXPIRED</v>
      </c>
      <c r="AH89" s="44" t="str">
        <f ca="1">IF(Message&lt;&gt;"",Message,IF(AND(AC89&lt;=0,AA89&gt;0),+RealEstate!AB$120*$C89,0))</f>
        <v>EXPIRED</v>
      </c>
      <c r="AI89" s="23" t="str">
        <f ca="1">IF(Message&lt;&gt;"",Message,+AK88*RealEstate!AB$115)</f>
        <v>EXPIRED</v>
      </c>
      <c r="AJ89" s="23" t="str">
        <f ca="1">IF(Message&lt;&gt;"",Message,+IF(AC89&gt;0,-AC89*RealEstate!AB$113,IF(AK88&lt;=0.1,0,IF(AA90=0,AK88,IF(AJ88&gt;0,SUM(AI88:AJ88)-AI89,AK88/100000*AB$116-AI89)))))</f>
        <v>EXPIRED</v>
      </c>
      <c r="AK89" s="44" t="str">
        <f ca="1">IF(Message&lt;&gt;"",Message,+IF(AC89&gt;0,AC89*RealEstate!AB$113,AK88-AJ89))</f>
        <v>EXPIRED</v>
      </c>
      <c r="AL89" s="20" t="str">
        <f t="shared" ca="1" si="44"/>
        <v>EXPIRED</v>
      </c>
      <c r="AM89" s="40"/>
    </row>
    <row r="90" spans="1:39" x14ac:dyDescent="0.25">
      <c r="A90" s="14">
        <f t="shared" si="45"/>
        <v>85</v>
      </c>
      <c r="B90" s="14">
        <f t="shared" si="45"/>
        <v>125</v>
      </c>
      <c r="C90" s="38">
        <f t="shared" si="32"/>
        <v>5.3828787794156296</v>
      </c>
      <c r="E90" s="23">
        <f t="shared" ca="1" si="33"/>
        <v>0</v>
      </c>
      <c r="F90" s="20">
        <f t="shared" ca="1" si="39"/>
        <v>0</v>
      </c>
      <c r="G90" s="20">
        <f t="shared" ca="1" si="40"/>
        <v>0</v>
      </c>
      <c r="H90" s="23">
        <f t="shared" ca="1" si="34"/>
        <v>0</v>
      </c>
      <c r="I90" s="20">
        <f t="shared" ca="1" si="35"/>
        <v>0</v>
      </c>
      <c r="J90" s="20">
        <f t="shared" ca="1" si="36"/>
        <v>0</v>
      </c>
      <c r="K90" s="23">
        <f t="shared" ca="1" si="19"/>
        <v>0</v>
      </c>
      <c r="L90" s="23">
        <f t="shared" ca="1" si="37"/>
        <v>0</v>
      </c>
      <c r="M90" s="40"/>
      <c r="N90" s="20" t="str">
        <f ca="1">IF(Message&lt;&gt;"",Message,IF(OR($B90&gt;RealEstate!O$112,$B90&lt;RealEstate!O$111),0,RealEstate!O$109*(1+inflation+RealEstate!O$110)^$A90))</f>
        <v>EXPIRED</v>
      </c>
      <c r="O90" s="23" t="str">
        <f t="shared" ca="1" si="41"/>
        <v>EXPIRED</v>
      </c>
      <c r="P90" s="23" t="str">
        <f ca="1">IF(Message&lt;&gt;"",Message,IF($B90=RealEstate!O$111,N90*(1+$C$3),0)+IF(B90=RealEstate!O$112,-N90*(1-$C$2),0))</f>
        <v>EXPIRED</v>
      </c>
      <c r="Q90" s="53" t="str">
        <f ca="1">IF(Message&lt;&gt;"",Message,+IF(P90&lt;0,MAX(0,N90 - RealEstate!O$109*(1+RealEstate!O$110)^(MAX(age,RealEstate!O$111)-age)-Taxes!$B$11*$C90),0))</f>
        <v>EXPIRED</v>
      </c>
      <c r="R90" s="43" t="str">
        <f ca="1">IF(Message&lt;&gt;"",Message,IF(AND(P90&lt;=0,N90&gt;0),+N90*RealEstate!O$117,0))</f>
        <v>EXPIRED</v>
      </c>
      <c r="S90" s="23" t="str">
        <f ca="1">IF(Message&lt;&gt;"",Message,IF(AND(P90&lt;=0,N90&gt;0),+N90*RealEstate!O$118,0))</f>
        <v>EXPIRED</v>
      </c>
      <c r="T90" s="23" t="str">
        <f ca="1">IF(Message&lt;&gt;"",Message,IF(AND(P90&lt;=0,N90&gt;0),+RealEstate!O$119*$C90,0))</f>
        <v>EXPIRED</v>
      </c>
      <c r="U90" s="44" t="str">
        <f ca="1">IF(Message&lt;&gt;"",Message,IF(AND(P90&lt;=0,N90&gt;0),+RealEstate!O$120*$C90,0))</f>
        <v>EXPIRED</v>
      </c>
      <c r="V90" s="23" t="str">
        <f ca="1">IF(Message&lt;&gt;"",Message,+X89*RealEstate!O$115)</f>
        <v>EXPIRED</v>
      </c>
      <c r="W90" s="23" t="str">
        <f ca="1">IF(Message&lt;&gt;"",Message,+IF(P90&gt;0,-P90*RealEstate!O$113,IF(X89&lt;=0.1,0,IF(N91=0,X89,IF(W89&gt;0,SUM(V89:W89)-V90,X89/100000*O$116-V90)))))</f>
        <v>EXPIRED</v>
      </c>
      <c r="X90" s="44" t="str">
        <f ca="1">IF(Message&lt;&gt;"",Message,+IF(P90&gt;0,P90*RealEstate!O$113,X89-W90))</f>
        <v>EXPIRED</v>
      </c>
      <c r="Y90" s="20" t="str">
        <f t="shared" ca="1" si="42"/>
        <v>EXPIRED</v>
      </c>
      <c r="Z90" s="40"/>
      <c r="AA90" s="20" t="str">
        <f ca="1">IF(Message&lt;&gt;"",Message,IF(OR($B90&gt;RealEstate!AB$112,$B90&lt;RealEstate!AB$111),0,RealEstate!AB$109*(1+inflation+RealEstate!AB$110)^$A90))</f>
        <v>EXPIRED</v>
      </c>
      <c r="AB90" s="23" t="str">
        <f t="shared" ca="1" si="43"/>
        <v>EXPIRED</v>
      </c>
      <c r="AC90" s="23" t="str">
        <f ca="1">IF(Message&lt;&gt;"",Message,IF($B90=RealEstate!AB$111,AA90*(1+$C$3),0)+IF(O90=RealEstate!AB$112,-AA90*(1-$C$2),0))</f>
        <v>EXPIRED</v>
      </c>
      <c r="AD90" s="53" t="str">
        <f ca="1">IF(Message&lt;&gt;"",Message,+IF(AC90&lt;0,MAX(0,AA90 - RealEstate!AB$109*(1+RealEstate!AB$110)^(MAX(age,RealEstate!AB$111)-age)-Taxes!$B$11*$C90),0))</f>
        <v>EXPIRED</v>
      </c>
      <c r="AE90" s="43" t="str">
        <f ca="1">IF(Message&lt;&gt;"",Message,IF(AND(AC90&lt;=0,AA90&gt;0),+AA90*RealEstate!AB$117,0))</f>
        <v>EXPIRED</v>
      </c>
      <c r="AF90" s="23" t="str">
        <f ca="1">IF(Message&lt;&gt;"",Message,IF(AND(AC90&lt;=0,AA90&gt;0),+AA90*RealEstate!AB$118,0))</f>
        <v>EXPIRED</v>
      </c>
      <c r="AG90" s="23" t="str">
        <f ca="1">IF(Message&lt;&gt;"",Message,IF(AND(AC90&lt;=0,AA90&gt;0),+RealEstate!AB$119*$C90,0))</f>
        <v>EXPIRED</v>
      </c>
      <c r="AH90" s="44" t="str">
        <f ca="1">IF(Message&lt;&gt;"",Message,IF(AND(AC90&lt;=0,AA90&gt;0),+RealEstate!AB$120*$C90,0))</f>
        <v>EXPIRED</v>
      </c>
      <c r="AI90" s="23" t="str">
        <f ca="1">IF(Message&lt;&gt;"",Message,+AK89*RealEstate!AB$115)</f>
        <v>EXPIRED</v>
      </c>
      <c r="AJ90" s="23" t="str">
        <f ca="1">IF(Message&lt;&gt;"",Message,+IF(AC90&gt;0,-AC90*RealEstate!AB$113,IF(AK89&lt;=0.1,0,IF(AA91=0,AK89,IF(AJ89&gt;0,SUM(AI89:AJ89)-AI90,AK89/100000*AB$116-AI90)))))</f>
        <v>EXPIRED</v>
      </c>
      <c r="AK90" s="44" t="str">
        <f ca="1">IF(Message&lt;&gt;"",Message,+IF(AC90&gt;0,AC90*RealEstate!AB$113,AK89-AJ90))</f>
        <v>EXPIRED</v>
      </c>
      <c r="AL90" s="20" t="str">
        <f t="shared" ca="1" si="44"/>
        <v>EXPIRED</v>
      </c>
      <c r="AM90" s="40"/>
    </row>
    <row r="91" spans="1:39" x14ac:dyDescent="0.25">
      <c r="A91" s="14">
        <f t="shared" si="45"/>
        <v>86</v>
      </c>
      <c r="B91" s="14">
        <f t="shared" si="45"/>
        <v>126</v>
      </c>
      <c r="C91" s="38">
        <f t="shared" si="32"/>
        <v>5.4905363550039423</v>
      </c>
      <c r="E91" s="23">
        <f t="shared" ca="1" si="33"/>
        <v>0</v>
      </c>
      <c r="F91" s="20">
        <f t="shared" ca="1" si="39"/>
        <v>0</v>
      </c>
      <c r="G91" s="20">
        <f t="shared" ca="1" si="40"/>
        <v>0</v>
      </c>
      <c r="H91" s="23">
        <f t="shared" ca="1" si="34"/>
        <v>0</v>
      </c>
      <c r="I91" s="20">
        <f t="shared" ca="1" si="35"/>
        <v>0</v>
      </c>
      <c r="J91" s="20">
        <f t="shared" ca="1" si="36"/>
        <v>0</v>
      </c>
      <c r="K91" s="23">
        <f t="shared" ca="1" si="19"/>
        <v>0</v>
      </c>
      <c r="L91" s="23">
        <f t="shared" ca="1" si="37"/>
        <v>0</v>
      </c>
      <c r="M91" s="40"/>
      <c r="N91" s="20" t="str">
        <f ca="1">IF(Message&lt;&gt;"",Message,IF(OR($B91&gt;RealEstate!O$112,$B91&lt;RealEstate!O$111),0,RealEstate!O$109*(1+inflation+RealEstate!O$110)^$A91))</f>
        <v>EXPIRED</v>
      </c>
      <c r="O91" s="23" t="str">
        <f t="shared" ca="1" si="41"/>
        <v>EXPIRED</v>
      </c>
      <c r="P91" s="23" t="str">
        <f ca="1">IF(Message&lt;&gt;"",Message,IF($B91=RealEstate!O$111,N91*(1+$C$3),0)+IF(B91=RealEstate!O$112,-N91*(1-$C$2),0))</f>
        <v>EXPIRED</v>
      </c>
      <c r="Q91" s="53" t="str">
        <f ca="1">IF(Message&lt;&gt;"",Message,+IF(P91&lt;0,MAX(0,N91 - RealEstate!O$109*(1+RealEstate!O$110)^(MAX(age,RealEstate!O$111)-age)-Taxes!$B$11*$C91),0))</f>
        <v>EXPIRED</v>
      </c>
      <c r="R91" s="43" t="str">
        <f ca="1">IF(Message&lt;&gt;"",Message,IF(AND(P91&lt;=0,N91&gt;0),+N91*RealEstate!O$117,0))</f>
        <v>EXPIRED</v>
      </c>
      <c r="S91" s="23" t="str">
        <f ca="1">IF(Message&lt;&gt;"",Message,IF(AND(P91&lt;=0,N91&gt;0),+N91*RealEstate!O$118,0))</f>
        <v>EXPIRED</v>
      </c>
      <c r="T91" s="23" t="str">
        <f ca="1">IF(Message&lt;&gt;"",Message,IF(AND(P91&lt;=0,N91&gt;0),+RealEstate!O$119*$C91,0))</f>
        <v>EXPIRED</v>
      </c>
      <c r="U91" s="44" t="str">
        <f ca="1">IF(Message&lt;&gt;"",Message,IF(AND(P91&lt;=0,N91&gt;0),+RealEstate!O$120*$C91,0))</f>
        <v>EXPIRED</v>
      </c>
      <c r="V91" s="23" t="str">
        <f ca="1">IF(Message&lt;&gt;"",Message,+X90*RealEstate!O$115)</f>
        <v>EXPIRED</v>
      </c>
      <c r="W91" s="23" t="str">
        <f ca="1">IF(Message&lt;&gt;"",Message,+IF(P91&gt;0,-P91*RealEstate!O$113,IF(X90&lt;=0.1,0,IF(N92=0,X90,IF(W90&gt;0,SUM(V90:W90)-V91,X90/100000*O$116-V91)))))</f>
        <v>EXPIRED</v>
      </c>
      <c r="X91" s="44" t="str">
        <f ca="1">IF(Message&lt;&gt;"",Message,+IF(P91&gt;0,P91*RealEstate!O$113,X90-W91))</f>
        <v>EXPIRED</v>
      </c>
      <c r="Y91" s="20" t="str">
        <f t="shared" ca="1" si="42"/>
        <v>EXPIRED</v>
      </c>
      <c r="Z91" s="40"/>
      <c r="AA91" s="20" t="str">
        <f ca="1">IF(Message&lt;&gt;"",Message,IF(OR($B91&gt;RealEstate!AB$112,$B91&lt;RealEstate!AB$111),0,RealEstate!AB$109*(1+inflation+RealEstate!AB$110)^$A91))</f>
        <v>EXPIRED</v>
      </c>
      <c r="AB91" s="23" t="str">
        <f t="shared" ca="1" si="43"/>
        <v>EXPIRED</v>
      </c>
      <c r="AC91" s="23" t="str">
        <f ca="1">IF(Message&lt;&gt;"",Message,IF($B91=RealEstate!AB$111,AA91*(1+$C$3),0)+IF(O91=RealEstate!AB$112,-AA91*(1-$C$2),0))</f>
        <v>EXPIRED</v>
      </c>
      <c r="AD91" s="53" t="str">
        <f ca="1">IF(Message&lt;&gt;"",Message,+IF(AC91&lt;0,MAX(0,AA91 - RealEstate!AB$109*(1+RealEstate!AB$110)^(MAX(age,RealEstate!AB$111)-age)-Taxes!$B$11*$C91),0))</f>
        <v>EXPIRED</v>
      </c>
      <c r="AE91" s="43" t="str">
        <f ca="1">IF(Message&lt;&gt;"",Message,IF(AND(AC91&lt;=0,AA91&gt;0),+AA91*RealEstate!AB$117,0))</f>
        <v>EXPIRED</v>
      </c>
      <c r="AF91" s="23" t="str">
        <f ca="1">IF(Message&lt;&gt;"",Message,IF(AND(AC91&lt;=0,AA91&gt;0),+AA91*RealEstate!AB$118,0))</f>
        <v>EXPIRED</v>
      </c>
      <c r="AG91" s="23" t="str">
        <f ca="1">IF(Message&lt;&gt;"",Message,IF(AND(AC91&lt;=0,AA91&gt;0),+RealEstate!AB$119*$C91,0))</f>
        <v>EXPIRED</v>
      </c>
      <c r="AH91" s="44" t="str">
        <f ca="1">IF(Message&lt;&gt;"",Message,IF(AND(AC91&lt;=0,AA91&gt;0),+RealEstate!AB$120*$C91,0))</f>
        <v>EXPIRED</v>
      </c>
      <c r="AI91" s="23" t="str">
        <f ca="1">IF(Message&lt;&gt;"",Message,+AK90*RealEstate!AB$115)</f>
        <v>EXPIRED</v>
      </c>
      <c r="AJ91" s="23" t="str">
        <f ca="1">IF(Message&lt;&gt;"",Message,+IF(AC91&gt;0,-AC91*RealEstate!AB$113,IF(AK90&lt;=0.1,0,IF(AA92=0,AK90,IF(AJ90&gt;0,SUM(AI90:AJ90)-AI91,AK90/100000*AB$116-AI91)))))</f>
        <v>EXPIRED</v>
      </c>
      <c r="AK91" s="44" t="str">
        <f ca="1">IF(Message&lt;&gt;"",Message,+IF(AC91&gt;0,AC91*RealEstate!AB$113,AK90-AJ91))</f>
        <v>EXPIRED</v>
      </c>
      <c r="AL91" s="20" t="str">
        <f t="shared" ca="1" si="44"/>
        <v>EXPIRED</v>
      </c>
      <c r="AM91" s="40"/>
    </row>
    <row r="92" spans="1:39" x14ac:dyDescent="0.25">
      <c r="A92" s="14">
        <f t="shared" si="45"/>
        <v>87</v>
      </c>
      <c r="B92" s="14">
        <f t="shared" si="45"/>
        <v>127</v>
      </c>
      <c r="C92" s="38">
        <f t="shared" si="32"/>
        <v>5.6003470821040198</v>
      </c>
      <c r="E92" s="23">
        <f t="shared" ca="1" si="33"/>
        <v>0</v>
      </c>
      <c r="F92" s="20">
        <f t="shared" ca="1" si="39"/>
        <v>0</v>
      </c>
      <c r="G92" s="20">
        <f t="shared" ca="1" si="40"/>
        <v>0</v>
      </c>
      <c r="H92" s="23">
        <f t="shared" ca="1" si="34"/>
        <v>0</v>
      </c>
      <c r="I92" s="20">
        <f t="shared" ca="1" si="35"/>
        <v>0</v>
      </c>
      <c r="J92" s="20">
        <f t="shared" ca="1" si="36"/>
        <v>0</v>
      </c>
      <c r="K92" s="23">
        <f t="shared" ca="1" si="19"/>
        <v>0</v>
      </c>
      <c r="L92" s="23">
        <f t="shared" ca="1" si="37"/>
        <v>0</v>
      </c>
      <c r="M92" s="40"/>
      <c r="N92" s="20" t="str">
        <f ca="1">IF(Message&lt;&gt;"",Message,IF(OR($B92&gt;RealEstate!O$112,$B92&lt;RealEstate!O$111),0,RealEstate!O$109*(1+inflation+RealEstate!O$110)^$A92))</f>
        <v>EXPIRED</v>
      </c>
      <c r="O92" s="23" t="str">
        <f t="shared" ca="1" si="41"/>
        <v>EXPIRED</v>
      </c>
      <c r="P92" s="23" t="str">
        <f ca="1">IF(Message&lt;&gt;"",Message,IF($B92=RealEstate!O$111,N92*(1+$C$3),0)+IF(B92=RealEstate!O$112,-N92*(1-$C$2),0))</f>
        <v>EXPIRED</v>
      </c>
      <c r="Q92" s="53" t="str">
        <f ca="1">IF(Message&lt;&gt;"",Message,+IF(P92&lt;0,MAX(0,N92 - RealEstate!O$109*(1+RealEstate!O$110)^(MAX(age,RealEstate!O$111)-age)-Taxes!$B$11*$C92),0))</f>
        <v>EXPIRED</v>
      </c>
      <c r="R92" s="43" t="str">
        <f ca="1">IF(Message&lt;&gt;"",Message,IF(AND(P92&lt;=0,N92&gt;0),+N92*RealEstate!O$117,0))</f>
        <v>EXPIRED</v>
      </c>
      <c r="S92" s="23" t="str">
        <f ca="1">IF(Message&lt;&gt;"",Message,IF(AND(P92&lt;=0,N92&gt;0),+N92*RealEstate!O$118,0))</f>
        <v>EXPIRED</v>
      </c>
      <c r="T92" s="23" t="str">
        <f ca="1">IF(Message&lt;&gt;"",Message,IF(AND(P92&lt;=0,N92&gt;0),+RealEstate!O$119*$C92,0))</f>
        <v>EXPIRED</v>
      </c>
      <c r="U92" s="44" t="str">
        <f ca="1">IF(Message&lt;&gt;"",Message,IF(AND(P92&lt;=0,N92&gt;0),+RealEstate!O$120*$C92,0))</f>
        <v>EXPIRED</v>
      </c>
      <c r="V92" s="23" t="str">
        <f ca="1">IF(Message&lt;&gt;"",Message,+X91*RealEstate!O$115)</f>
        <v>EXPIRED</v>
      </c>
      <c r="W92" s="23" t="str">
        <f ca="1">IF(Message&lt;&gt;"",Message,+IF(P92&gt;0,-P92*RealEstate!O$113,IF(X91&lt;=0.1,0,IF(N93=0,X91,IF(W91&gt;0,SUM(V91:W91)-V92,X91/100000*O$116-V92)))))</f>
        <v>EXPIRED</v>
      </c>
      <c r="X92" s="44" t="str">
        <f ca="1">IF(Message&lt;&gt;"",Message,+IF(P92&gt;0,P92*RealEstate!O$113,X91-W92))</f>
        <v>EXPIRED</v>
      </c>
      <c r="Y92" s="20" t="str">
        <f t="shared" ca="1" si="42"/>
        <v>EXPIRED</v>
      </c>
      <c r="Z92" s="40"/>
      <c r="AA92" s="20" t="str">
        <f ca="1">IF(Message&lt;&gt;"",Message,IF(OR($B92&gt;RealEstate!AB$112,$B92&lt;RealEstate!AB$111),0,RealEstate!AB$109*(1+inflation+RealEstate!AB$110)^$A92))</f>
        <v>EXPIRED</v>
      </c>
      <c r="AB92" s="23" t="str">
        <f t="shared" ca="1" si="43"/>
        <v>EXPIRED</v>
      </c>
      <c r="AC92" s="23" t="str">
        <f ca="1">IF(Message&lt;&gt;"",Message,IF($B92=RealEstate!AB$111,AA92*(1+$C$3),0)+IF(O92=RealEstate!AB$112,-AA92*(1-$C$2),0))</f>
        <v>EXPIRED</v>
      </c>
      <c r="AD92" s="53" t="str">
        <f ca="1">IF(Message&lt;&gt;"",Message,+IF(AC92&lt;0,MAX(0,AA92 - RealEstate!AB$109*(1+RealEstate!AB$110)^(MAX(age,RealEstate!AB$111)-age)-Taxes!$B$11*$C92),0))</f>
        <v>EXPIRED</v>
      </c>
      <c r="AE92" s="43" t="str">
        <f ca="1">IF(Message&lt;&gt;"",Message,IF(AND(AC92&lt;=0,AA92&gt;0),+AA92*RealEstate!AB$117,0))</f>
        <v>EXPIRED</v>
      </c>
      <c r="AF92" s="23" t="str">
        <f ca="1">IF(Message&lt;&gt;"",Message,IF(AND(AC92&lt;=0,AA92&gt;0),+AA92*RealEstate!AB$118,0))</f>
        <v>EXPIRED</v>
      </c>
      <c r="AG92" s="23" t="str">
        <f ca="1">IF(Message&lt;&gt;"",Message,IF(AND(AC92&lt;=0,AA92&gt;0),+RealEstate!AB$119*$C92,0))</f>
        <v>EXPIRED</v>
      </c>
      <c r="AH92" s="44" t="str">
        <f ca="1">IF(Message&lt;&gt;"",Message,IF(AND(AC92&lt;=0,AA92&gt;0),+RealEstate!AB$120*$C92,0))</f>
        <v>EXPIRED</v>
      </c>
      <c r="AI92" s="23" t="str">
        <f ca="1">IF(Message&lt;&gt;"",Message,+AK91*RealEstate!AB$115)</f>
        <v>EXPIRED</v>
      </c>
      <c r="AJ92" s="23" t="str">
        <f ca="1">IF(Message&lt;&gt;"",Message,+IF(AC92&gt;0,-AC92*RealEstate!AB$113,IF(AK91&lt;=0.1,0,IF(AA93=0,AK91,IF(AJ91&gt;0,SUM(AI91:AJ91)-AI92,AK91/100000*AB$116-AI92)))))</f>
        <v>EXPIRED</v>
      </c>
      <c r="AK92" s="44" t="str">
        <f ca="1">IF(Message&lt;&gt;"",Message,+IF(AC92&gt;0,AC92*RealEstate!AB$113,AK91-AJ92))</f>
        <v>EXPIRED</v>
      </c>
      <c r="AL92" s="20" t="str">
        <f t="shared" ca="1" si="44"/>
        <v>EXPIRED</v>
      </c>
      <c r="AM92" s="40"/>
    </row>
    <row r="93" spans="1:39" x14ac:dyDescent="0.25">
      <c r="A93" s="14">
        <f t="shared" si="45"/>
        <v>88</v>
      </c>
      <c r="B93" s="14">
        <f t="shared" si="45"/>
        <v>128</v>
      </c>
      <c r="C93" s="38">
        <f t="shared" si="32"/>
        <v>5.7123540237461006</v>
      </c>
      <c r="E93" s="23">
        <f t="shared" ca="1" si="33"/>
        <v>0</v>
      </c>
      <c r="F93" s="20">
        <f t="shared" ca="1" si="39"/>
        <v>0</v>
      </c>
      <c r="G93" s="20">
        <f t="shared" ca="1" si="40"/>
        <v>0</v>
      </c>
      <c r="H93" s="23">
        <f t="shared" ca="1" si="34"/>
        <v>0</v>
      </c>
      <c r="I93" s="20">
        <f t="shared" ca="1" si="35"/>
        <v>0</v>
      </c>
      <c r="J93" s="20">
        <f t="shared" ca="1" si="36"/>
        <v>0</v>
      </c>
      <c r="K93" s="23">
        <f t="shared" ca="1" si="19"/>
        <v>0</v>
      </c>
      <c r="L93" s="23">
        <f t="shared" ca="1" si="37"/>
        <v>0</v>
      </c>
      <c r="M93" s="40"/>
      <c r="N93" s="20" t="str">
        <f ca="1">IF(Message&lt;&gt;"",Message,IF(OR($B93&gt;RealEstate!O$112,$B93&lt;RealEstate!O$111),0,RealEstate!O$109*(1+inflation+RealEstate!O$110)^$A93))</f>
        <v>EXPIRED</v>
      </c>
      <c r="O93" s="23" t="str">
        <f t="shared" ca="1" si="41"/>
        <v>EXPIRED</v>
      </c>
      <c r="P93" s="23" t="str">
        <f ca="1">IF(Message&lt;&gt;"",Message,IF($B93=RealEstate!O$111,N93*(1+$C$3),0)+IF(B93=RealEstate!O$112,-N93*(1-$C$2),0))</f>
        <v>EXPIRED</v>
      </c>
      <c r="Q93" s="53" t="str">
        <f ca="1">IF(Message&lt;&gt;"",Message,+IF(P93&lt;0,MAX(0,N93 - RealEstate!O$109*(1+RealEstate!O$110)^(MAX(age,RealEstate!O$111)-age)-Taxes!$B$11*$C93),0))</f>
        <v>EXPIRED</v>
      </c>
      <c r="R93" s="43" t="str">
        <f ca="1">IF(Message&lt;&gt;"",Message,IF(AND(P93&lt;=0,N93&gt;0),+N93*RealEstate!O$117,0))</f>
        <v>EXPIRED</v>
      </c>
      <c r="S93" s="23" t="str">
        <f ca="1">IF(Message&lt;&gt;"",Message,IF(AND(P93&lt;=0,N93&gt;0),+N93*RealEstate!O$118,0))</f>
        <v>EXPIRED</v>
      </c>
      <c r="T93" s="23" t="str">
        <f ca="1">IF(Message&lt;&gt;"",Message,IF(AND(P93&lt;=0,N93&gt;0),+RealEstate!O$119*$C93,0))</f>
        <v>EXPIRED</v>
      </c>
      <c r="U93" s="44" t="str">
        <f ca="1">IF(Message&lt;&gt;"",Message,IF(AND(P93&lt;=0,N93&gt;0),+RealEstate!O$120*$C93,0))</f>
        <v>EXPIRED</v>
      </c>
      <c r="V93" s="23" t="str">
        <f ca="1">IF(Message&lt;&gt;"",Message,+X92*RealEstate!O$115)</f>
        <v>EXPIRED</v>
      </c>
      <c r="W93" s="23" t="str">
        <f ca="1">IF(Message&lt;&gt;"",Message,+IF(P93&gt;0,-P93*RealEstate!O$113,IF(X92&lt;=0.1,0,IF(N94=0,X92,IF(W92&gt;0,SUM(V92:W92)-V93,X92/100000*O$116-V93)))))</f>
        <v>EXPIRED</v>
      </c>
      <c r="X93" s="44" t="str">
        <f ca="1">IF(Message&lt;&gt;"",Message,+IF(P93&gt;0,P93*RealEstate!O$113,X92-W93))</f>
        <v>EXPIRED</v>
      </c>
      <c r="Y93" s="20" t="str">
        <f t="shared" ca="1" si="42"/>
        <v>EXPIRED</v>
      </c>
      <c r="Z93" s="40"/>
      <c r="AA93" s="20" t="str">
        <f ca="1">IF(Message&lt;&gt;"",Message,IF(OR($B93&gt;RealEstate!AB$112,$B93&lt;RealEstate!AB$111),0,RealEstate!AB$109*(1+inflation+RealEstate!AB$110)^$A93))</f>
        <v>EXPIRED</v>
      </c>
      <c r="AB93" s="23" t="str">
        <f t="shared" ca="1" si="43"/>
        <v>EXPIRED</v>
      </c>
      <c r="AC93" s="23" t="str">
        <f ca="1">IF(Message&lt;&gt;"",Message,IF($B93=RealEstate!AB$111,AA93*(1+$C$3),0)+IF(O93=RealEstate!AB$112,-AA93*(1-$C$2),0))</f>
        <v>EXPIRED</v>
      </c>
      <c r="AD93" s="53" t="str">
        <f ca="1">IF(Message&lt;&gt;"",Message,+IF(AC93&lt;0,MAX(0,AA93 - RealEstate!AB$109*(1+RealEstate!AB$110)^(MAX(age,RealEstate!AB$111)-age)-Taxes!$B$11*$C93),0))</f>
        <v>EXPIRED</v>
      </c>
      <c r="AE93" s="43" t="str">
        <f ca="1">IF(Message&lt;&gt;"",Message,IF(AND(AC93&lt;=0,AA93&gt;0),+AA93*RealEstate!AB$117,0))</f>
        <v>EXPIRED</v>
      </c>
      <c r="AF93" s="23" t="str">
        <f ca="1">IF(Message&lt;&gt;"",Message,IF(AND(AC93&lt;=0,AA93&gt;0),+AA93*RealEstate!AB$118,0))</f>
        <v>EXPIRED</v>
      </c>
      <c r="AG93" s="23" t="str">
        <f ca="1">IF(Message&lt;&gt;"",Message,IF(AND(AC93&lt;=0,AA93&gt;0),+RealEstate!AB$119*$C93,0))</f>
        <v>EXPIRED</v>
      </c>
      <c r="AH93" s="44" t="str">
        <f ca="1">IF(Message&lt;&gt;"",Message,IF(AND(AC93&lt;=0,AA93&gt;0),+RealEstate!AB$120*$C93,0))</f>
        <v>EXPIRED</v>
      </c>
      <c r="AI93" s="23" t="str">
        <f ca="1">IF(Message&lt;&gt;"",Message,+AK92*RealEstate!AB$115)</f>
        <v>EXPIRED</v>
      </c>
      <c r="AJ93" s="23" t="str">
        <f ca="1">IF(Message&lt;&gt;"",Message,+IF(AC93&gt;0,-AC93*RealEstate!AB$113,IF(AK92&lt;=0.1,0,IF(AA94=0,AK92,IF(AJ92&gt;0,SUM(AI92:AJ92)-AI93,AK92/100000*AB$116-AI93)))))</f>
        <v>EXPIRED</v>
      </c>
      <c r="AK93" s="44" t="str">
        <f ca="1">IF(Message&lt;&gt;"",Message,+IF(AC93&gt;0,AC93*RealEstate!AB$113,AK92-AJ93))</f>
        <v>EXPIRED</v>
      </c>
      <c r="AL93" s="20" t="str">
        <f t="shared" ca="1" si="44"/>
        <v>EXPIRED</v>
      </c>
      <c r="AM93" s="40"/>
    </row>
    <row r="94" spans="1:39" x14ac:dyDescent="0.25">
      <c r="A94" s="14">
        <f t="shared" si="45"/>
        <v>89</v>
      </c>
      <c r="B94" s="14">
        <f t="shared" si="45"/>
        <v>129</v>
      </c>
      <c r="C94" s="38">
        <f t="shared" si="32"/>
        <v>5.8266011042210231</v>
      </c>
      <c r="E94" s="23">
        <f t="shared" ca="1" si="33"/>
        <v>0</v>
      </c>
      <c r="F94" s="20">
        <f t="shared" ca="1" si="39"/>
        <v>0</v>
      </c>
      <c r="G94" s="20">
        <f t="shared" ca="1" si="40"/>
        <v>0</v>
      </c>
      <c r="H94" s="23">
        <f t="shared" ca="1" si="34"/>
        <v>0</v>
      </c>
      <c r="I94" s="20">
        <f t="shared" ca="1" si="35"/>
        <v>0</v>
      </c>
      <c r="J94" s="20">
        <f t="shared" ca="1" si="36"/>
        <v>0</v>
      </c>
      <c r="K94" s="23">
        <f t="shared" ca="1" si="19"/>
        <v>0</v>
      </c>
      <c r="L94" s="23">
        <f t="shared" ca="1" si="37"/>
        <v>0</v>
      </c>
      <c r="M94" s="40"/>
      <c r="N94" s="20" t="str">
        <f ca="1">IF(Message&lt;&gt;"",Message,IF(OR($B94&gt;RealEstate!O$112,$B94&lt;RealEstate!O$111),0,RealEstate!O$109*(1+inflation+RealEstate!O$110)^$A94))</f>
        <v>EXPIRED</v>
      </c>
      <c r="O94" s="23" t="str">
        <f t="shared" ca="1" si="41"/>
        <v>EXPIRED</v>
      </c>
      <c r="P94" s="23" t="str">
        <f ca="1">IF(Message&lt;&gt;"",Message,IF($B94=RealEstate!O$111,N94*(1+$C$3),0)+IF(B94=RealEstate!O$112,-N94*(1-$C$2),0))</f>
        <v>EXPIRED</v>
      </c>
      <c r="Q94" s="53" t="str">
        <f ca="1">IF(Message&lt;&gt;"",Message,+IF(P94&lt;0,MAX(0,N94 - RealEstate!O$109*(1+RealEstate!O$110)^(MAX(age,RealEstate!O$111)-age)-Taxes!$B$11*$C94),0))</f>
        <v>EXPIRED</v>
      </c>
      <c r="R94" s="43" t="str">
        <f ca="1">IF(Message&lt;&gt;"",Message,IF(AND(P94&lt;=0,N94&gt;0),+N94*RealEstate!O$117,0))</f>
        <v>EXPIRED</v>
      </c>
      <c r="S94" s="23" t="str">
        <f ca="1">IF(Message&lt;&gt;"",Message,IF(AND(P94&lt;=0,N94&gt;0),+N94*RealEstate!O$118,0))</f>
        <v>EXPIRED</v>
      </c>
      <c r="T94" s="23" t="str">
        <f ca="1">IF(Message&lt;&gt;"",Message,IF(AND(P94&lt;=0,N94&gt;0),+RealEstate!O$119*$C94,0))</f>
        <v>EXPIRED</v>
      </c>
      <c r="U94" s="44" t="str">
        <f ca="1">IF(Message&lt;&gt;"",Message,IF(AND(P94&lt;=0,N94&gt;0),+RealEstate!O$120*$C94,0))</f>
        <v>EXPIRED</v>
      </c>
      <c r="V94" s="23" t="str">
        <f ca="1">IF(Message&lt;&gt;"",Message,+X93*RealEstate!O$115)</f>
        <v>EXPIRED</v>
      </c>
      <c r="W94" s="23" t="str">
        <f ca="1">IF(Message&lt;&gt;"",Message,+IF(P94&gt;0,-P94*RealEstate!O$113,IF(X93&lt;=0.1,0,IF(N95=0,X93,IF(W93&gt;0,SUM(V93:W93)-V94,X93/100000*O$116-V94)))))</f>
        <v>EXPIRED</v>
      </c>
      <c r="X94" s="44" t="str">
        <f ca="1">IF(Message&lt;&gt;"",Message,+IF(P94&gt;0,P94*RealEstate!O$113,X93-W94))</f>
        <v>EXPIRED</v>
      </c>
      <c r="Y94" s="20" t="str">
        <f t="shared" ca="1" si="42"/>
        <v>EXPIRED</v>
      </c>
      <c r="Z94" s="40"/>
      <c r="AA94" s="20" t="str">
        <f ca="1">IF(Message&lt;&gt;"",Message,IF(OR($B94&gt;RealEstate!AB$112,$B94&lt;RealEstate!AB$111),0,RealEstate!AB$109*(1+inflation+RealEstate!AB$110)^$A94))</f>
        <v>EXPIRED</v>
      </c>
      <c r="AB94" s="23" t="str">
        <f t="shared" ca="1" si="43"/>
        <v>EXPIRED</v>
      </c>
      <c r="AC94" s="23" t="str">
        <f ca="1">IF(Message&lt;&gt;"",Message,IF($B94=RealEstate!AB$111,AA94*(1+$C$3),0)+IF(O94=RealEstate!AB$112,-AA94*(1-$C$2),0))</f>
        <v>EXPIRED</v>
      </c>
      <c r="AD94" s="53" t="str">
        <f ca="1">IF(Message&lt;&gt;"",Message,+IF(AC94&lt;0,MAX(0,AA94 - RealEstate!AB$109*(1+RealEstate!AB$110)^(MAX(age,RealEstate!AB$111)-age)-Taxes!$B$11*$C94),0))</f>
        <v>EXPIRED</v>
      </c>
      <c r="AE94" s="43" t="str">
        <f ca="1">IF(Message&lt;&gt;"",Message,IF(AND(AC94&lt;=0,AA94&gt;0),+AA94*RealEstate!AB$117,0))</f>
        <v>EXPIRED</v>
      </c>
      <c r="AF94" s="23" t="str">
        <f ca="1">IF(Message&lt;&gt;"",Message,IF(AND(AC94&lt;=0,AA94&gt;0),+AA94*RealEstate!AB$118,0))</f>
        <v>EXPIRED</v>
      </c>
      <c r="AG94" s="23" t="str">
        <f ca="1">IF(Message&lt;&gt;"",Message,IF(AND(AC94&lt;=0,AA94&gt;0),+RealEstate!AB$119*$C94,0))</f>
        <v>EXPIRED</v>
      </c>
      <c r="AH94" s="44" t="str">
        <f ca="1">IF(Message&lt;&gt;"",Message,IF(AND(AC94&lt;=0,AA94&gt;0),+RealEstate!AB$120*$C94,0))</f>
        <v>EXPIRED</v>
      </c>
      <c r="AI94" s="23" t="str">
        <f ca="1">IF(Message&lt;&gt;"",Message,+AK93*RealEstate!AB$115)</f>
        <v>EXPIRED</v>
      </c>
      <c r="AJ94" s="23" t="str">
        <f ca="1">IF(Message&lt;&gt;"",Message,+IF(AC94&gt;0,-AC94*RealEstate!AB$113,IF(AK93&lt;=0.1,0,IF(AA95=0,AK93,IF(AJ93&gt;0,SUM(AI93:AJ93)-AI94,AK93/100000*AB$116-AI94)))))</f>
        <v>EXPIRED</v>
      </c>
      <c r="AK94" s="44" t="str">
        <f ca="1">IF(Message&lt;&gt;"",Message,+IF(AC94&gt;0,AC94*RealEstate!AB$113,AK93-AJ94))</f>
        <v>EXPIRED</v>
      </c>
      <c r="AL94" s="20" t="str">
        <f t="shared" ca="1" si="44"/>
        <v>EXPIRED</v>
      </c>
      <c r="AM94" s="40"/>
    </row>
    <row r="95" spans="1:39" x14ac:dyDescent="0.25">
      <c r="A95" s="14">
        <f t="shared" si="45"/>
        <v>90</v>
      </c>
      <c r="B95" s="14">
        <f t="shared" si="45"/>
        <v>130</v>
      </c>
      <c r="C95" s="38">
        <f t="shared" si="32"/>
        <v>5.9431331263054439</v>
      </c>
      <c r="E95" s="23">
        <f t="shared" ca="1" si="33"/>
        <v>0</v>
      </c>
      <c r="F95" s="20">
        <f t="shared" ca="1" si="39"/>
        <v>0</v>
      </c>
      <c r="G95" s="20">
        <f t="shared" ca="1" si="40"/>
        <v>0</v>
      </c>
      <c r="H95" s="23">
        <f t="shared" ca="1" si="34"/>
        <v>0</v>
      </c>
      <c r="I95" s="20">
        <f t="shared" ca="1" si="35"/>
        <v>0</v>
      </c>
      <c r="J95" s="20">
        <f t="shared" ca="1" si="36"/>
        <v>0</v>
      </c>
      <c r="K95" s="23">
        <f t="shared" ca="1" si="19"/>
        <v>0</v>
      </c>
      <c r="L95" s="23">
        <f t="shared" ca="1" si="37"/>
        <v>0</v>
      </c>
      <c r="M95" s="40"/>
      <c r="N95" s="20" t="str">
        <f ca="1">IF(Message&lt;&gt;"",Message,IF(OR($B95&gt;RealEstate!O$112,$B95&lt;RealEstate!O$111),0,RealEstate!O$109*(1+inflation+RealEstate!O$110)^$A95))</f>
        <v>EXPIRED</v>
      </c>
      <c r="O95" s="23" t="str">
        <f t="shared" ca="1" si="41"/>
        <v>EXPIRED</v>
      </c>
      <c r="P95" s="23" t="str">
        <f ca="1">IF(Message&lt;&gt;"",Message,IF($B95=RealEstate!O$111,N95*(1+$C$3),0)+IF(B95=RealEstate!O$112,-N95*(1-$C$2),0))</f>
        <v>EXPIRED</v>
      </c>
      <c r="Q95" s="53" t="str">
        <f ca="1">IF(Message&lt;&gt;"",Message,+IF(P95&lt;0,MAX(0,N95 - RealEstate!O$109*(1+RealEstate!O$110)^(MAX(age,RealEstate!O$111)-age)-Taxes!$B$11*$C95),0))</f>
        <v>EXPIRED</v>
      </c>
      <c r="R95" s="43" t="str">
        <f ca="1">IF(Message&lt;&gt;"",Message,IF(AND(P95&lt;=0,N95&gt;0),+N95*RealEstate!O$117,0))</f>
        <v>EXPIRED</v>
      </c>
      <c r="S95" s="23" t="str">
        <f ca="1">IF(Message&lt;&gt;"",Message,IF(AND(P95&lt;=0,N95&gt;0),+N95*RealEstate!O$118,0))</f>
        <v>EXPIRED</v>
      </c>
      <c r="T95" s="23" t="str">
        <f ca="1">IF(Message&lt;&gt;"",Message,IF(AND(P95&lt;=0,N95&gt;0),+RealEstate!O$119*$C95,0))</f>
        <v>EXPIRED</v>
      </c>
      <c r="U95" s="44" t="str">
        <f ca="1">IF(Message&lt;&gt;"",Message,IF(AND(P95&lt;=0,N95&gt;0),+RealEstate!O$120*$C95,0))</f>
        <v>EXPIRED</v>
      </c>
      <c r="V95" s="23" t="str">
        <f ca="1">IF(Message&lt;&gt;"",Message,+X94*RealEstate!O$115)</f>
        <v>EXPIRED</v>
      </c>
      <c r="W95" s="23" t="str">
        <f ca="1">IF(Message&lt;&gt;"",Message,+IF(P95&gt;0,-P95*RealEstate!O$113,IF(X94&lt;=0.1,0,IF(N96=0,X94,IF(W94&gt;0,SUM(V94:W94)-V95,X94/100000*O$116-V95)))))</f>
        <v>EXPIRED</v>
      </c>
      <c r="X95" s="44" t="str">
        <f ca="1">IF(Message&lt;&gt;"",Message,+IF(P95&gt;0,P95*RealEstate!O$113,X94-W95))</f>
        <v>EXPIRED</v>
      </c>
      <c r="Y95" s="20" t="str">
        <f t="shared" ca="1" si="42"/>
        <v>EXPIRED</v>
      </c>
      <c r="Z95" s="40"/>
      <c r="AA95" s="20" t="str">
        <f ca="1">IF(Message&lt;&gt;"",Message,IF(OR($B95&gt;RealEstate!AB$112,$B95&lt;RealEstate!AB$111),0,RealEstate!AB$109*(1+inflation+RealEstate!AB$110)^$A95))</f>
        <v>EXPIRED</v>
      </c>
      <c r="AB95" s="23" t="str">
        <f t="shared" ca="1" si="43"/>
        <v>EXPIRED</v>
      </c>
      <c r="AC95" s="23" t="str">
        <f ca="1">IF(Message&lt;&gt;"",Message,IF($B95=RealEstate!AB$111,AA95*(1+$C$3),0)+IF(O95=RealEstate!AB$112,-AA95*(1-$C$2),0))</f>
        <v>EXPIRED</v>
      </c>
      <c r="AD95" s="53" t="str">
        <f ca="1">IF(Message&lt;&gt;"",Message,+IF(AC95&lt;0,MAX(0,AA95 - RealEstate!AB$109*(1+RealEstate!AB$110)^(MAX(age,RealEstate!AB$111)-age)-Taxes!$B$11*$C95),0))</f>
        <v>EXPIRED</v>
      </c>
      <c r="AE95" s="43" t="str">
        <f ca="1">IF(Message&lt;&gt;"",Message,IF(AND(AC95&lt;=0,AA95&gt;0),+AA95*RealEstate!AB$117,0))</f>
        <v>EXPIRED</v>
      </c>
      <c r="AF95" s="23" t="str">
        <f ca="1">IF(Message&lt;&gt;"",Message,IF(AND(AC95&lt;=0,AA95&gt;0),+AA95*RealEstate!AB$118,0))</f>
        <v>EXPIRED</v>
      </c>
      <c r="AG95" s="23" t="str">
        <f ca="1">IF(Message&lt;&gt;"",Message,IF(AND(AC95&lt;=0,AA95&gt;0),+RealEstate!AB$119*$C95,0))</f>
        <v>EXPIRED</v>
      </c>
      <c r="AH95" s="44" t="str">
        <f ca="1">IF(Message&lt;&gt;"",Message,IF(AND(AC95&lt;=0,AA95&gt;0),+RealEstate!AB$120*$C95,0))</f>
        <v>EXPIRED</v>
      </c>
      <c r="AI95" s="23" t="str">
        <f ca="1">IF(Message&lt;&gt;"",Message,+AK94*RealEstate!AB$115)</f>
        <v>EXPIRED</v>
      </c>
      <c r="AJ95" s="23" t="str">
        <f ca="1">IF(Message&lt;&gt;"",Message,+IF(AC95&gt;0,-AC95*RealEstate!AB$113,IF(AK94&lt;=0.1,0,IF(AA96=0,AK94,IF(AJ94&gt;0,SUM(AI94:AJ94)-AI95,AK94/100000*AB$116-AI95)))))</f>
        <v>EXPIRED</v>
      </c>
      <c r="AK95" s="44" t="str">
        <f ca="1">IF(Message&lt;&gt;"",Message,+IF(AC95&gt;0,AC95*RealEstate!AB$113,AK94-AJ95))</f>
        <v>EXPIRED</v>
      </c>
      <c r="AL95" s="20" t="str">
        <f t="shared" ca="1" si="44"/>
        <v>EXPIRED</v>
      </c>
      <c r="AM95" s="40"/>
    </row>
    <row r="96" spans="1:39" x14ac:dyDescent="0.25">
      <c r="A96" s="14">
        <f t="shared" si="45"/>
        <v>91</v>
      </c>
      <c r="B96" s="14">
        <f t="shared" si="45"/>
        <v>131</v>
      </c>
      <c r="C96" s="38">
        <f t="shared" si="32"/>
        <v>6.0619957888315517</v>
      </c>
      <c r="E96" s="23">
        <f t="shared" ca="1" si="33"/>
        <v>0</v>
      </c>
      <c r="F96" s="20">
        <f t="shared" ca="1" si="39"/>
        <v>0</v>
      </c>
      <c r="G96" s="20">
        <f t="shared" ca="1" si="40"/>
        <v>0</v>
      </c>
      <c r="H96" s="23">
        <f t="shared" ca="1" si="34"/>
        <v>0</v>
      </c>
      <c r="I96" s="20">
        <f t="shared" ca="1" si="35"/>
        <v>0</v>
      </c>
      <c r="J96" s="20">
        <f t="shared" ca="1" si="36"/>
        <v>0</v>
      </c>
      <c r="K96" s="23">
        <f t="shared" ca="1" si="19"/>
        <v>0</v>
      </c>
      <c r="L96" s="23">
        <f t="shared" ca="1" si="37"/>
        <v>0</v>
      </c>
      <c r="M96" s="40"/>
      <c r="N96" s="20" t="str">
        <f ca="1">IF(Message&lt;&gt;"",Message,IF(OR($B96&gt;RealEstate!O$112,$B96&lt;RealEstate!O$111),0,RealEstate!O$109*(1+inflation+RealEstate!O$110)^$A96))</f>
        <v>EXPIRED</v>
      </c>
      <c r="O96" s="23" t="str">
        <f t="shared" ca="1" si="41"/>
        <v>EXPIRED</v>
      </c>
      <c r="P96" s="23" t="str">
        <f ca="1">IF(Message&lt;&gt;"",Message,IF($B96=RealEstate!O$111,N96*(1+$C$3),0)+IF(B96=RealEstate!O$112,-N96*(1-$C$2),0))</f>
        <v>EXPIRED</v>
      </c>
      <c r="Q96" s="53" t="str">
        <f ca="1">IF(Message&lt;&gt;"",Message,+IF(P96&lt;0,MAX(0,N96 - RealEstate!O$109*(1+RealEstate!O$110)^(MAX(age,RealEstate!O$111)-age)-Taxes!$B$11*$C96),0))</f>
        <v>EXPIRED</v>
      </c>
      <c r="R96" s="43" t="str">
        <f ca="1">IF(Message&lt;&gt;"",Message,IF(AND(P96&lt;=0,N96&gt;0),+N96*RealEstate!O$117,0))</f>
        <v>EXPIRED</v>
      </c>
      <c r="S96" s="23" t="str">
        <f ca="1">IF(Message&lt;&gt;"",Message,IF(AND(P96&lt;=0,N96&gt;0),+N96*RealEstate!O$118,0))</f>
        <v>EXPIRED</v>
      </c>
      <c r="T96" s="23" t="str">
        <f ca="1">IF(Message&lt;&gt;"",Message,IF(AND(P96&lt;=0,N96&gt;0),+RealEstate!O$119*$C96,0))</f>
        <v>EXPIRED</v>
      </c>
      <c r="U96" s="44" t="str">
        <f ca="1">IF(Message&lt;&gt;"",Message,IF(AND(P96&lt;=0,N96&gt;0),+RealEstate!O$120*$C96,0))</f>
        <v>EXPIRED</v>
      </c>
      <c r="V96" s="23" t="str">
        <f ca="1">IF(Message&lt;&gt;"",Message,+X95*RealEstate!O$115)</f>
        <v>EXPIRED</v>
      </c>
      <c r="W96" s="23" t="str">
        <f ca="1">IF(Message&lt;&gt;"",Message,+IF(P96&gt;0,-P96*RealEstate!O$113,IF(X95&lt;=0.1,0,IF(N97=0,X95,IF(W95&gt;0,SUM(V95:W95)-V96,X95/100000*O$116-V96)))))</f>
        <v>EXPIRED</v>
      </c>
      <c r="X96" s="44" t="str">
        <f ca="1">IF(Message&lt;&gt;"",Message,+IF(P96&gt;0,P96*RealEstate!O$113,X95-W96))</f>
        <v>EXPIRED</v>
      </c>
      <c r="Y96" s="20" t="str">
        <f t="shared" ca="1" si="42"/>
        <v>EXPIRED</v>
      </c>
      <c r="Z96" s="40"/>
      <c r="AA96" s="20" t="str">
        <f ca="1">IF(Message&lt;&gt;"",Message,IF(OR($B96&gt;RealEstate!AB$112,$B96&lt;RealEstate!AB$111),0,RealEstate!AB$109*(1+inflation+RealEstate!AB$110)^$A96))</f>
        <v>EXPIRED</v>
      </c>
      <c r="AB96" s="23" t="str">
        <f t="shared" ca="1" si="43"/>
        <v>EXPIRED</v>
      </c>
      <c r="AC96" s="23" t="str">
        <f ca="1">IF(Message&lt;&gt;"",Message,IF($B96=RealEstate!AB$111,AA96*(1+$C$3),0)+IF(O96=RealEstate!AB$112,-AA96*(1-$C$2),0))</f>
        <v>EXPIRED</v>
      </c>
      <c r="AD96" s="53" t="str">
        <f ca="1">IF(Message&lt;&gt;"",Message,+IF(AC96&lt;0,MAX(0,AA96 - RealEstate!AB$109*(1+RealEstate!AB$110)^(MAX(age,RealEstate!AB$111)-age)-Taxes!$B$11*$C96),0))</f>
        <v>EXPIRED</v>
      </c>
      <c r="AE96" s="43" t="str">
        <f ca="1">IF(Message&lt;&gt;"",Message,IF(AND(AC96&lt;=0,AA96&gt;0),+AA96*RealEstate!AB$117,0))</f>
        <v>EXPIRED</v>
      </c>
      <c r="AF96" s="23" t="str">
        <f ca="1">IF(Message&lt;&gt;"",Message,IF(AND(AC96&lt;=0,AA96&gt;0),+AA96*RealEstate!AB$118,0))</f>
        <v>EXPIRED</v>
      </c>
      <c r="AG96" s="23" t="str">
        <f ca="1">IF(Message&lt;&gt;"",Message,IF(AND(AC96&lt;=0,AA96&gt;0),+RealEstate!AB$119*$C96,0))</f>
        <v>EXPIRED</v>
      </c>
      <c r="AH96" s="44" t="str">
        <f ca="1">IF(Message&lt;&gt;"",Message,IF(AND(AC96&lt;=0,AA96&gt;0),+RealEstate!AB$120*$C96,0))</f>
        <v>EXPIRED</v>
      </c>
      <c r="AI96" s="23" t="str">
        <f ca="1">IF(Message&lt;&gt;"",Message,+AK95*RealEstate!AB$115)</f>
        <v>EXPIRED</v>
      </c>
      <c r="AJ96" s="23" t="str">
        <f ca="1">IF(Message&lt;&gt;"",Message,+IF(AC96&gt;0,-AC96*RealEstate!AB$113,IF(AK95&lt;=0.1,0,IF(AA97=0,AK95,IF(AJ95&gt;0,SUM(AI95:AJ95)-AI96,AK95/100000*AB$116-AI96)))))</f>
        <v>EXPIRED</v>
      </c>
      <c r="AK96" s="44" t="str">
        <f ca="1">IF(Message&lt;&gt;"",Message,+IF(AC96&gt;0,AC96*RealEstate!AB$113,AK95-AJ96))</f>
        <v>EXPIRED</v>
      </c>
      <c r="AL96" s="20" t="str">
        <f t="shared" ca="1" si="44"/>
        <v>EXPIRED</v>
      </c>
      <c r="AM96" s="40"/>
    </row>
    <row r="97" spans="1:39" x14ac:dyDescent="0.25">
      <c r="A97" s="14">
        <f t="shared" si="45"/>
        <v>92</v>
      </c>
      <c r="B97" s="14">
        <f t="shared" si="45"/>
        <v>132</v>
      </c>
      <c r="C97" s="38">
        <f t="shared" si="32"/>
        <v>6.1832357046081841</v>
      </c>
      <c r="E97" s="23">
        <f t="shared" ca="1" si="33"/>
        <v>0</v>
      </c>
      <c r="F97" s="20">
        <f t="shared" ca="1" si="39"/>
        <v>0</v>
      </c>
      <c r="G97" s="20">
        <f t="shared" ca="1" si="40"/>
        <v>0</v>
      </c>
      <c r="H97" s="23">
        <f t="shared" ca="1" si="34"/>
        <v>0</v>
      </c>
      <c r="I97" s="20">
        <f t="shared" ca="1" si="35"/>
        <v>0</v>
      </c>
      <c r="J97" s="20">
        <f t="shared" ca="1" si="36"/>
        <v>0</v>
      </c>
      <c r="K97" s="23">
        <f t="shared" ref="K97:K105" ca="1" si="46">+L97+F97</f>
        <v>0</v>
      </c>
      <c r="L97" s="23">
        <f t="shared" ca="1" si="37"/>
        <v>0</v>
      </c>
      <c r="M97" s="40"/>
      <c r="N97" s="20" t="str">
        <f ca="1">IF(Message&lt;&gt;"",Message,IF(OR($B97&gt;RealEstate!O$112,$B97&lt;RealEstate!O$111),0,RealEstate!O$109*(1+inflation+RealEstate!O$110)^$A97))</f>
        <v>EXPIRED</v>
      </c>
      <c r="O97" s="23" t="str">
        <f t="shared" ca="1" si="41"/>
        <v>EXPIRED</v>
      </c>
      <c r="P97" s="23" t="str">
        <f ca="1">IF(Message&lt;&gt;"",Message,IF($B97=RealEstate!O$111,N97*(1+$C$3),0)+IF(B97=RealEstate!O$112,-N97*(1-$C$2),0))</f>
        <v>EXPIRED</v>
      </c>
      <c r="Q97" s="53" t="str">
        <f ca="1">IF(Message&lt;&gt;"",Message,+IF(P97&lt;0,MAX(0,N97 - RealEstate!O$109*(1+RealEstate!O$110)^(MAX(age,RealEstate!O$111)-age)-Taxes!$B$11*$C97),0))</f>
        <v>EXPIRED</v>
      </c>
      <c r="R97" s="43" t="str">
        <f ca="1">IF(Message&lt;&gt;"",Message,IF(AND(P97&lt;=0,N97&gt;0),+N97*RealEstate!O$117,0))</f>
        <v>EXPIRED</v>
      </c>
      <c r="S97" s="23" t="str">
        <f ca="1">IF(Message&lt;&gt;"",Message,IF(AND(P97&lt;=0,N97&gt;0),+N97*RealEstate!O$118,0))</f>
        <v>EXPIRED</v>
      </c>
      <c r="T97" s="23" t="str">
        <f ca="1">IF(Message&lt;&gt;"",Message,IF(AND(P97&lt;=0,N97&gt;0),+RealEstate!O$119*$C97,0))</f>
        <v>EXPIRED</v>
      </c>
      <c r="U97" s="44" t="str">
        <f ca="1">IF(Message&lt;&gt;"",Message,IF(AND(P97&lt;=0,N97&gt;0),+RealEstate!O$120*$C97,0))</f>
        <v>EXPIRED</v>
      </c>
      <c r="V97" s="23" t="str">
        <f ca="1">IF(Message&lt;&gt;"",Message,+X96*RealEstate!O$115)</f>
        <v>EXPIRED</v>
      </c>
      <c r="W97" s="23" t="str">
        <f ca="1">IF(Message&lt;&gt;"",Message,+IF(P97&gt;0,-P97*RealEstate!O$113,IF(X96&lt;=0.1,0,IF(N98=0,X96,IF(W96&gt;0,SUM(V96:W96)-V97,X96/100000*O$116-V97)))))</f>
        <v>EXPIRED</v>
      </c>
      <c r="X97" s="44" t="str">
        <f ca="1">IF(Message&lt;&gt;"",Message,+IF(P97&gt;0,P97*RealEstate!O$113,X96-W97))</f>
        <v>EXPIRED</v>
      </c>
      <c r="Y97" s="20" t="str">
        <f t="shared" ca="1" si="42"/>
        <v>EXPIRED</v>
      </c>
      <c r="Z97" s="40"/>
      <c r="AA97" s="20" t="str">
        <f ca="1">IF(Message&lt;&gt;"",Message,IF(OR($B97&gt;RealEstate!AB$112,$B97&lt;RealEstate!AB$111),0,RealEstate!AB$109*(1+inflation+RealEstate!AB$110)^$A97))</f>
        <v>EXPIRED</v>
      </c>
      <c r="AB97" s="23" t="str">
        <f t="shared" ca="1" si="43"/>
        <v>EXPIRED</v>
      </c>
      <c r="AC97" s="23" t="str">
        <f ca="1">IF(Message&lt;&gt;"",Message,IF($B97=RealEstate!AB$111,AA97*(1+$C$3),0)+IF(O97=RealEstate!AB$112,-AA97*(1-$C$2),0))</f>
        <v>EXPIRED</v>
      </c>
      <c r="AD97" s="53" t="str">
        <f ca="1">IF(Message&lt;&gt;"",Message,+IF(AC97&lt;0,MAX(0,AA97 - RealEstate!AB$109*(1+RealEstate!AB$110)^(MAX(age,RealEstate!AB$111)-age)-Taxes!$B$11*$C97),0))</f>
        <v>EXPIRED</v>
      </c>
      <c r="AE97" s="43" t="str">
        <f ca="1">IF(Message&lt;&gt;"",Message,IF(AND(AC97&lt;=0,AA97&gt;0),+AA97*RealEstate!AB$117,0))</f>
        <v>EXPIRED</v>
      </c>
      <c r="AF97" s="23" t="str">
        <f ca="1">IF(Message&lt;&gt;"",Message,IF(AND(AC97&lt;=0,AA97&gt;0),+AA97*RealEstate!AB$118,0))</f>
        <v>EXPIRED</v>
      </c>
      <c r="AG97" s="23" t="str">
        <f ca="1">IF(Message&lt;&gt;"",Message,IF(AND(AC97&lt;=0,AA97&gt;0),+RealEstate!AB$119*$C97,0))</f>
        <v>EXPIRED</v>
      </c>
      <c r="AH97" s="44" t="str">
        <f ca="1">IF(Message&lt;&gt;"",Message,IF(AND(AC97&lt;=0,AA97&gt;0),+RealEstate!AB$120*$C97,0))</f>
        <v>EXPIRED</v>
      </c>
      <c r="AI97" s="23" t="str">
        <f ca="1">IF(Message&lt;&gt;"",Message,+AK96*RealEstate!AB$115)</f>
        <v>EXPIRED</v>
      </c>
      <c r="AJ97" s="23" t="str">
        <f ca="1">IF(Message&lt;&gt;"",Message,+IF(AC97&gt;0,-AC97*RealEstate!AB$113,IF(AK96&lt;=0.1,0,IF(AA98=0,AK96,IF(AJ96&gt;0,SUM(AI96:AJ96)-AI97,AK96/100000*AB$116-AI97)))))</f>
        <v>EXPIRED</v>
      </c>
      <c r="AK97" s="44" t="str">
        <f ca="1">IF(Message&lt;&gt;"",Message,+IF(AC97&gt;0,AC97*RealEstate!AB$113,AK96-AJ97))</f>
        <v>EXPIRED</v>
      </c>
      <c r="AL97" s="20" t="str">
        <f t="shared" ca="1" si="44"/>
        <v>EXPIRED</v>
      </c>
      <c r="AM97" s="40"/>
    </row>
    <row r="98" spans="1:39" x14ac:dyDescent="0.25">
      <c r="A98" s="14">
        <f t="shared" si="45"/>
        <v>93</v>
      </c>
      <c r="B98" s="14">
        <f t="shared" si="45"/>
        <v>133</v>
      </c>
      <c r="C98" s="38">
        <f t="shared" si="32"/>
        <v>6.306900418700347</v>
      </c>
      <c r="E98" s="23">
        <f t="shared" ca="1" si="33"/>
        <v>0</v>
      </c>
      <c r="F98" s="20">
        <f t="shared" ca="1" si="39"/>
        <v>0</v>
      </c>
      <c r="G98" s="20">
        <f t="shared" ca="1" si="40"/>
        <v>0</v>
      </c>
      <c r="H98" s="23">
        <f t="shared" ca="1" si="34"/>
        <v>0</v>
      </c>
      <c r="I98" s="20">
        <f t="shared" ca="1" si="35"/>
        <v>0</v>
      </c>
      <c r="J98" s="20">
        <f t="shared" ca="1" si="36"/>
        <v>0</v>
      </c>
      <c r="K98" s="23">
        <f t="shared" ca="1" si="46"/>
        <v>0</v>
      </c>
      <c r="L98" s="23">
        <f t="shared" ca="1" si="37"/>
        <v>0</v>
      </c>
      <c r="M98" s="40"/>
      <c r="N98" s="20" t="str">
        <f ca="1">IF(Message&lt;&gt;"",Message,IF(OR($B98&gt;RealEstate!O$112,$B98&lt;RealEstate!O$111),0,RealEstate!O$109*(1+inflation+RealEstate!O$110)^$A98))</f>
        <v>EXPIRED</v>
      </c>
      <c r="O98" s="23" t="str">
        <f t="shared" ca="1" si="41"/>
        <v>EXPIRED</v>
      </c>
      <c r="P98" s="23" t="str">
        <f ca="1">IF(Message&lt;&gt;"",Message,IF($B98=RealEstate!O$111,N98*(1+$C$3),0)+IF(B98=RealEstate!O$112,-N98*(1-$C$2),0))</f>
        <v>EXPIRED</v>
      </c>
      <c r="Q98" s="53" t="str">
        <f ca="1">IF(Message&lt;&gt;"",Message,+IF(P98&lt;0,MAX(0,N98 - RealEstate!O$109*(1+RealEstate!O$110)^(MAX(age,RealEstate!O$111)-age)-Taxes!$B$11*$C98),0))</f>
        <v>EXPIRED</v>
      </c>
      <c r="R98" s="43" t="str">
        <f ca="1">IF(Message&lt;&gt;"",Message,IF(AND(P98&lt;=0,N98&gt;0),+N98*RealEstate!O$117,0))</f>
        <v>EXPIRED</v>
      </c>
      <c r="S98" s="23" t="str">
        <f ca="1">IF(Message&lt;&gt;"",Message,IF(AND(P98&lt;=0,N98&gt;0),+N98*RealEstate!O$118,0))</f>
        <v>EXPIRED</v>
      </c>
      <c r="T98" s="23" t="str">
        <f ca="1">IF(Message&lt;&gt;"",Message,IF(AND(P98&lt;=0,N98&gt;0),+RealEstate!O$119*$C98,0))</f>
        <v>EXPIRED</v>
      </c>
      <c r="U98" s="44" t="str">
        <f ca="1">IF(Message&lt;&gt;"",Message,IF(AND(P98&lt;=0,N98&gt;0),+RealEstate!O$120*$C98,0))</f>
        <v>EXPIRED</v>
      </c>
      <c r="V98" s="23" t="str">
        <f ca="1">IF(Message&lt;&gt;"",Message,+X97*RealEstate!O$115)</f>
        <v>EXPIRED</v>
      </c>
      <c r="W98" s="23" t="str">
        <f ca="1">IF(Message&lt;&gt;"",Message,+IF(P98&gt;0,-P98*RealEstate!O$113,IF(X97&lt;=0.1,0,IF(N99=0,X97,IF(W97&gt;0,SUM(V97:W97)-V98,X97/100000*O$116-V98)))))</f>
        <v>EXPIRED</v>
      </c>
      <c r="X98" s="44" t="str">
        <f ca="1">IF(Message&lt;&gt;"",Message,+IF(P98&gt;0,P98*RealEstate!O$113,X97-W98))</f>
        <v>EXPIRED</v>
      </c>
      <c r="Y98" s="20" t="str">
        <f t="shared" ca="1" si="42"/>
        <v>EXPIRED</v>
      </c>
      <c r="Z98" s="40"/>
      <c r="AA98" s="20" t="str">
        <f ca="1">IF(Message&lt;&gt;"",Message,IF(OR($B98&gt;RealEstate!AB$112,$B98&lt;RealEstate!AB$111),0,RealEstate!AB$109*(1+inflation+RealEstate!AB$110)^$A98))</f>
        <v>EXPIRED</v>
      </c>
      <c r="AB98" s="23" t="str">
        <f t="shared" ca="1" si="43"/>
        <v>EXPIRED</v>
      </c>
      <c r="AC98" s="23" t="str">
        <f ca="1">IF(Message&lt;&gt;"",Message,IF($B98=RealEstate!AB$111,AA98*(1+$C$3),0)+IF(O98=RealEstate!AB$112,-AA98*(1-$C$2),0))</f>
        <v>EXPIRED</v>
      </c>
      <c r="AD98" s="53" t="str">
        <f ca="1">IF(Message&lt;&gt;"",Message,+IF(AC98&lt;0,MAX(0,AA98 - RealEstate!AB$109*(1+RealEstate!AB$110)^(MAX(age,RealEstate!AB$111)-age)-Taxes!$B$11*$C98),0))</f>
        <v>EXPIRED</v>
      </c>
      <c r="AE98" s="43" t="str">
        <f ca="1">IF(Message&lt;&gt;"",Message,IF(AND(AC98&lt;=0,AA98&gt;0),+AA98*RealEstate!AB$117,0))</f>
        <v>EXPIRED</v>
      </c>
      <c r="AF98" s="23" t="str">
        <f ca="1">IF(Message&lt;&gt;"",Message,IF(AND(AC98&lt;=0,AA98&gt;0),+AA98*RealEstate!AB$118,0))</f>
        <v>EXPIRED</v>
      </c>
      <c r="AG98" s="23" t="str">
        <f ca="1">IF(Message&lt;&gt;"",Message,IF(AND(AC98&lt;=0,AA98&gt;0),+RealEstate!AB$119*$C98,0))</f>
        <v>EXPIRED</v>
      </c>
      <c r="AH98" s="44" t="str">
        <f ca="1">IF(Message&lt;&gt;"",Message,IF(AND(AC98&lt;=0,AA98&gt;0),+RealEstate!AB$120*$C98,0))</f>
        <v>EXPIRED</v>
      </c>
      <c r="AI98" s="23" t="str">
        <f ca="1">IF(Message&lt;&gt;"",Message,+AK97*RealEstate!AB$115)</f>
        <v>EXPIRED</v>
      </c>
      <c r="AJ98" s="23" t="str">
        <f ca="1">IF(Message&lt;&gt;"",Message,+IF(AC98&gt;0,-AC98*RealEstate!AB$113,IF(AK97&lt;=0.1,0,IF(AA99=0,AK97,IF(AJ97&gt;0,SUM(AI97:AJ97)-AI98,AK97/100000*AB$116-AI98)))))</f>
        <v>EXPIRED</v>
      </c>
      <c r="AK98" s="44" t="str">
        <f ca="1">IF(Message&lt;&gt;"",Message,+IF(AC98&gt;0,AC98*RealEstate!AB$113,AK97-AJ98))</f>
        <v>EXPIRED</v>
      </c>
      <c r="AL98" s="20" t="str">
        <f t="shared" ca="1" si="44"/>
        <v>EXPIRED</v>
      </c>
      <c r="AM98" s="40"/>
    </row>
    <row r="99" spans="1:39" x14ac:dyDescent="0.25">
      <c r="A99" s="14">
        <f t="shared" si="45"/>
        <v>94</v>
      </c>
      <c r="B99" s="14">
        <f t="shared" si="45"/>
        <v>134</v>
      </c>
      <c r="C99" s="38">
        <f t="shared" si="32"/>
        <v>6.4330384270743544</v>
      </c>
      <c r="E99" s="23">
        <f t="shared" ca="1" si="33"/>
        <v>0</v>
      </c>
      <c r="F99" s="20">
        <f t="shared" ca="1" si="39"/>
        <v>0</v>
      </c>
      <c r="G99" s="20">
        <f t="shared" ca="1" si="40"/>
        <v>0</v>
      </c>
      <c r="H99" s="23">
        <f t="shared" ca="1" si="34"/>
        <v>0</v>
      </c>
      <c r="I99" s="20">
        <f t="shared" ca="1" si="35"/>
        <v>0</v>
      </c>
      <c r="J99" s="20">
        <f t="shared" ca="1" si="36"/>
        <v>0</v>
      </c>
      <c r="K99" s="23">
        <f t="shared" ca="1" si="46"/>
        <v>0</v>
      </c>
      <c r="L99" s="23">
        <f t="shared" ca="1" si="37"/>
        <v>0</v>
      </c>
      <c r="M99" s="40"/>
      <c r="N99" s="20" t="str">
        <f ca="1">IF(Message&lt;&gt;"",Message,IF(OR($B99&gt;RealEstate!O$112,$B99&lt;RealEstate!O$111),0,RealEstate!O$109*(1+inflation+RealEstate!O$110)^$A99))</f>
        <v>EXPIRED</v>
      </c>
      <c r="O99" s="23" t="str">
        <f t="shared" ca="1" si="41"/>
        <v>EXPIRED</v>
      </c>
      <c r="P99" s="23" t="str">
        <f ca="1">IF(Message&lt;&gt;"",Message,IF($B99=RealEstate!O$111,N99*(1+$C$3),0)+IF(B99=RealEstate!O$112,-N99*(1-$C$2),0))</f>
        <v>EXPIRED</v>
      </c>
      <c r="Q99" s="53" t="str">
        <f ca="1">IF(Message&lt;&gt;"",Message,+IF(P99&lt;0,MAX(0,N99 - RealEstate!O$109*(1+RealEstate!O$110)^(MAX(age,RealEstate!O$111)-age)-Taxes!$B$11*$C99),0))</f>
        <v>EXPIRED</v>
      </c>
      <c r="R99" s="43" t="str">
        <f ca="1">IF(Message&lt;&gt;"",Message,IF(AND(P99&lt;=0,N99&gt;0),+N99*RealEstate!O$117,0))</f>
        <v>EXPIRED</v>
      </c>
      <c r="S99" s="23" t="str">
        <f ca="1">IF(Message&lt;&gt;"",Message,IF(AND(P99&lt;=0,N99&gt;0),+N99*RealEstate!O$118,0))</f>
        <v>EXPIRED</v>
      </c>
      <c r="T99" s="23" t="str">
        <f ca="1">IF(Message&lt;&gt;"",Message,IF(AND(P99&lt;=0,N99&gt;0),+RealEstate!O$119*$C99,0))</f>
        <v>EXPIRED</v>
      </c>
      <c r="U99" s="44" t="str">
        <f ca="1">IF(Message&lt;&gt;"",Message,IF(AND(P99&lt;=0,N99&gt;0),+RealEstate!O$120*$C99,0))</f>
        <v>EXPIRED</v>
      </c>
      <c r="V99" s="23" t="str">
        <f ca="1">IF(Message&lt;&gt;"",Message,+X98*RealEstate!O$115)</f>
        <v>EXPIRED</v>
      </c>
      <c r="W99" s="23" t="str">
        <f ca="1">IF(Message&lt;&gt;"",Message,+IF(P99&gt;0,-P99*RealEstate!O$113,IF(X98&lt;=0.1,0,IF(N100=0,X98,IF(W98&gt;0,SUM(V98:W98)-V99,X98/100000*O$116-V99)))))</f>
        <v>EXPIRED</v>
      </c>
      <c r="X99" s="44" t="str">
        <f ca="1">IF(Message&lt;&gt;"",Message,+IF(P99&gt;0,P99*RealEstate!O$113,X98-W99))</f>
        <v>EXPIRED</v>
      </c>
      <c r="Y99" s="20" t="str">
        <f t="shared" ca="1" si="42"/>
        <v>EXPIRED</v>
      </c>
      <c r="Z99" s="40"/>
      <c r="AA99" s="20" t="str">
        <f ca="1">IF(Message&lt;&gt;"",Message,IF(OR($B99&gt;RealEstate!AB$112,$B99&lt;RealEstate!AB$111),0,RealEstate!AB$109*(1+inflation+RealEstate!AB$110)^$A99))</f>
        <v>EXPIRED</v>
      </c>
      <c r="AB99" s="23" t="str">
        <f t="shared" ca="1" si="43"/>
        <v>EXPIRED</v>
      </c>
      <c r="AC99" s="23" t="str">
        <f ca="1">IF(Message&lt;&gt;"",Message,IF($B99=RealEstate!AB$111,AA99*(1+$C$3),0)+IF(O99=RealEstate!AB$112,-AA99*(1-$C$2),0))</f>
        <v>EXPIRED</v>
      </c>
      <c r="AD99" s="53" t="str">
        <f ca="1">IF(Message&lt;&gt;"",Message,+IF(AC99&lt;0,MAX(0,AA99 - RealEstate!AB$109*(1+RealEstate!AB$110)^(MAX(age,RealEstate!AB$111)-age)-Taxes!$B$11*$C99),0))</f>
        <v>EXPIRED</v>
      </c>
      <c r="AE99" s="43" t="str">
        <f ca="1">IF(Message&lt;&gt;"",Message,IF(AND(AC99&lt;=0,AA99&gt;0),+AA99*RealEstate!AB$117,0))</f>
        <v>EXPIRED</v>
      </c>
      <c r="AF99" s="23" t="str">
        <f ca="1">IF(Message&lt;&gt;"",Message,IF(AND(AC99&lt;=0,AA99&gt;0),+AA99*RealEstate!AB$118,0))</f>
        <v>EXPIRED</v>
      </c>
      <c r="AG99" s="23" t="str">
        <f ca="1">IF(Message&lt;&gt;"",Message,IF(AND(AC99&lt;=0,AA99&gt;0),+RealEstate!AB$119*$C99,0))</f>
        <v>EXPIRED</v>
      </c>
      <c r="AH99" s="44" t="str">
        <f ca="1">IF(Message&lt;&gt;"",Message,IF(AND(AC99&lt;=0,AA99&gt;0),+RealEstate!AB$120*$C99,0))</f>
        <v>EXPIRED</v>
      </c>
      <c r="AI99" s="23" t="str">
        <f ca="1">IF(Message&lt;&gt;"",Message,+AK98*RealEstate!AB$115)</f>
        <v>EXPIRED</v>
      </c>
      <c r="AJ99" s="23" t="str">
        <f ca="1">IF(Message&lt;&gt;"",Message,+IF(AC99&gt;0,-AC99*RealEstate!AB$113,IF(AK98&lt;=0.1,0,IF(AA100=0,AK98,IF(AJ98&gt;0,SUM(AI98:AJ98)-AI99,AK98/100000*AB$116-AI99)))))</f>
        <v>EXPIRED</v>
      </c>
      <c r="AK99" s="44" t="str">
        <f ca="1">IF(Message&lt;&gt;"",Message,+IF(AC99&gt;0,AC99*RealEstate!AB$113,AK98-AJ99))</f>
        <v>EXPIRED</v>
      </c>
      <c r="AL99" s="20" t="str">
        <f t="shared" ca="1" si="44"/>
        <v>EXPIRED</v>
      </c>
      <c r="AM99" s="40"/>
    </row>
    <row r="100" spans="1:39" x14ac:dyDescent="0.25">
      <c r="A100" s="14">
        <f t="shared" si="45"/>
        <v>95</v>
      </c>
      <c r="B100" s="14">
        <f t="shared" si="45"/>
        <v>135</v>
      </c>
      <c r="C100" s="38">
        <f t="shared" si="32"/>
        <v>6.5616991956158399</v>
      </c>
      <c r="E100" s="23">
        <f t="shared" ca="1" si="33"/>
        <v>0</v>
      </c>
      <c r="F100" s="20">
        <f t="shared" ca="1" si="39"/>
        <v>0</v>
      </c>
      <c r="G100" s="20">
        <f t="shared" ca="1" si="40"/>
        <v>0</v>
      </c>
      <c r="H100" s="23">
        <f t="shared" ca="1" si="34"/>
        <v>0</v>
      </c>
      <c r="I100" s="20">
        <f t="shared" ca="1" si="35"/>
        <v>0</v>
      </c>
      <c r="J100" s="20">
        <f t="shared" ca="1" si="36"/>
        <v>0</v>
      </c>
      <c r="K100" s="23">
        <f t="shared" ca="1" si="46"/>
        <v>0</v>
      </c>
      <c r="L100" s="23">
        <f t="shared" ca="1" si="37"/>
        <v>0</v>
      </c>
      <c r="M100" s="40"/>
      <c r="N100" s="20" t="str">
        <f ca="1">IF(Message&lt;&gt;"",Message,IF(OR($B100&gt;RealEstate!O$112,$B100&lt;RealEstate!O$111),0,RealEstate!O$109*(1+inflation+RealEstate!O$110)^$A100))</f>
        <v>EXPIRED</v>
      </c>
      <c r="O100" s="23" t="str">
        <f t="shared" ca="1" si="41"/>
        <v>EXPIRED</v>
      </c>
      <c r="P100" s="23" t="str">
        <f ca="1">IF(Message&lt;&gt;"",Message,IF($B100=RealEstate!O$111,N100*(1+$C$3),0)+IF(B100=RealEstate!O$112,-N100*(1-$C$2),0))</f>
        <v>EXPIRED</v>
      </c>
      <c r="Q100" s="53" t="str">
        <f ca="1">IF(Message&lt;&gt;"",Message,+IF(P100&lt;0,MAX(0,N100 - RealEstate!O$109*(1+RealEstate!O$110)^(MAX(age,RealEstate!O$111)-age)-Taxes!$B$11*$C100),0))</f>
        <v>EXPIRED</v>
      </c>
      <c r="R100" s="43" t="str">
        <f ca="1">IF(Message&lt;&gt;"",Message,IF(AND(P100&lt;=0,N100&gt;0),+N100*RealEstate!O$117,0))</f>
        <v>EXPIRED</v>
      </c>
      <c r="S100" s="23" t="str">
        <f ca="1">IF(Message&lt;&gt;"",Message,IF(AND(P100&lt;=0,N100&gt;0),+N100*RealEstate!O$118,0))</f>
        <v>EXPIRED</v>
      </c>
      <c r="T100" s="23" t="str">
        <f ca="1">IF(Message&lt;&gt;"",Message,IF(AND(P100&lt;=0,N100&gt;0),+RealEstate!O$119*$C100,0))</f>
        <v>EXPIRED</v>
      </c>
      <c r="U100" s="44" t="str">
        <f ca="1">IF(Message&lt;&gt;"",Message,IF(AND(P100&lt;=0,N100&gt;0),+RealEstate!O$120*$C100,0))</f>
        <v>EXPIRED</v>
      </c>
      <c r="V100" s="23" t="str">
        <f ca="1">IF(Message&lt;&gt;"",Message,+X99*RealEstate!O$115)</f>
        <v>EXPIRED</v>
      </c>
      <c r="W100" s="23" t="str">
        <f ca="1">IF(Message&lt;&gt;"",Message,+IF(P100&gt;0,-P100*RealEstate!O$113,IF(X99&lt;=0.1,0,IF(N101=0,X99,IF(W99&gt;0,SUM(V99:W99)-V100,X99/100000*O$116-V100)))))</f>
        <v>EXPIRED</v>
      </c>
      <c r="X100" s="44" t="str">
        <f ca="1">IF(Message&lt;&gt;"",Message,+IF(P100&gt;0,P100*RealEstate!O$113,X99-W100))</f>
        <v>EXPIRED</v>
      </c>
      <c r="Y100" s="20" t="str">
        <f t="shared" ca="1" si="42"/>
        <v>EXPIRED</v>
      </c>
      <c r="Z100" s="40"/>
      <c r="AA100" s="20" t="str">
        <f ca="1">IF(Message&lt;&gt;"",Message,IF(OR($B100&gt;RealEstate!AB$112,$B100&lt;RealEstate!AB$111),0,RealEstate!AB$109*(1+inflation+RealEstate!AB$110)^$A100))</f>
        <v>EXPIRED</v>
      </c>
      <c r="AB100" s="23" t="str">
        <f t="shared" ca="1" si="43"/>
        <v>EXPIRED</v>
      </c>
      <c r="AC100" s="23" t="str">
        <f ca="1">IF(Message&lt;&gt;"",Message,IF($B100=RealEstate!AB$111,AA100*(1+$C$3),0)+IF(O100=RealEstate!AB$112,-AA100*(1-$C$2),0))</f>
        <v>EXPIRED</v>
      </c>
      <c r="AD100" s="53" t="str">
        <f ca="1">IF(Message&lt;&gt;"",Message,+IF(AC100&lt;0,MAX(0,AA100 - RealEstate!AB$109*(1+RealEstate!AB$110)^(MAX(age,RealEstate!AB$111)-age)-Taxes!$B$11*$C100),0))</f>
        <v>EXPIRED</v>
      </c>
      <c r="AE100" s="43" t="str">
        <f ca="1">IF(Message&lt;&gt;"",Message,IF(AND(AC100&lt;=0,AA100&gt;0),+AA100*RealEstate!AB$117,0))</f>
        <v>EXPIRED</v>
      </c>
      <c r="AF100" s="23" t="str">
        <f ca="1">IF(Message&lt;&gt;"",Message,IF(AND(AC100&lt;=0,AA100&gt;0),+AA100*RealEstate!AB$118,0))</f>
        <v>EXPIRED</v>
      </c>
      <c r="AG100" s="23" t="str">
        <f ca="1">IF(Message&lt;&gt;"",Message,IF(AND(AC100&lt;=0,AA100&gt;0),+RealEstate!AB$119*$C100,0))</f>
        <v>EXPIRED</v>
      </c>
      <c r="AH100" s="44" t="str">
        <f ca="1">IF(Message&lt;&gt;"",Message,IF(AND(AC100&lt;=0,AA100&gt;0),+RealEstate!AB$120*$C100,0))</f>
        <v>EXPIRED</v>
      </c>
      <c r="AI100" s="23" t="str">
        <f ca="1">IF(Message&lt;&gt;"",Message,+AK99*RealEstate!AB$115)</f>
        <v>EXPIRED</v>
      </c>
      <c r="AJ100" s="23" t="str">
        <f ca="1">IF(Message&lt;&gt;"",Message,+IF(AC100&gt;0,-AC100*RealEstate!AB$113,IF(AK99&lt;=0.1,0,IF(AA101=0,AK99,IF(AJ99&gt;0,SUM(AI99:AJ99)-AI100,AK99/100000*AB$116-AI100)))))</f>
        <v>EXPIRED</v>
      </c>
      <c r="AK100" s="44" t="str">
        <f ca="1">IF(Message&lt;&gt;"",Message,+IF(AC100&gt;0,AC100*RealEstate!AB$113,AK99-AJ100))</f>
        <v>EXPIRED</v>
      </c>
      <c r="AL100" s="20" t="str">
        <f t="shared" ca="1" si="44"/>
        <v>EXPIRED</v>
      </c>
      <c r="AM100" s="40"/>
    </row>
    <row r="101" spans="1:39" x14ac:dyDescent="0.25">
      <c r="A101" s="14">
        <f t="shared" si="45"/>
        <v>96</v>
      </c>
      <c r="B101" s="14">
        <f t="shared" si="45"/>
        <v>136</v>
      </c>
      <c r="C101" s="38">
        <f t="shared" si="32"/>
        <v>6.6929331795281577</v>
      </c>
      <c r="E101" s="23">
        <f t="shared" ca="1" si="33"/>
        <v>0</v>
      </c>
      <c r="F101" s="20">
        <f t="shared" ca="1" si="39"/>
        <v>0</v>
      </c>
      <c r="G101" s="20">
        <f t="shared" ca="1" si="40"/>
        <v>0</v>
      </c>
      <c r="H101" s="23">
        <f t="shared" ca="1" si="34"/>
        <v>0</v>
      </c>
      <c r="I101" s="20">
        <f t="shared" ca="1" si="35"/>
        <v>0</v>
      </c>
      <c r="J101" s="20">
        <f t="shared" ca="1" si="36"/>
        <v>0</v>
      </c>
      <c r="K101" s="23">
        <f t="shared" ca="1" si="46"/>
        <v>0</v>
      </c>
      <c r="L101" s="23">
        <f t="shared" ca="1" si="37"/>
        <v>0</v>
      </c>
      <c r="M101" s="40"/>
      <c r="N101" s="20" t="str">
        <f ca="1">IF(Message&lt;&gt;"",Message,IF(OR($B101&gt;RealEstate!O$112,$B101&lt;RealEstate!O$111),0,RealEstate!O$109*(1+inflation+RealEstate!O$110)^$A101))</f>
        <v>EXPIRED</v>
      </c>
      <c r="O101" s="23" t="str">
        <f t="shared" ca="1" si="41"/>
        <v>EXPIRED</v>
      </c>
      <c r="P101" s="23" t="str">
        <f ca="1">IF(Message&lt;&gt;"",Message,IF($B101=RealEstate!O$111,N101*(1+$C$3),0)+IF(B101=RealEstate!O$112,-N101*(1-$C$2),0))</f>
        <v>EXPIRED</v>
      </c>
      <c r="Q101" s="53" t="str">
        <f ca="1">IF(Message&lt;&gt;"",Message,+IF(P101&lt;0,MAX(0,N101 - RealEstate!O$109*(1+RealEstate!O$110)^(MAX(age,RealEstate!O$111)-age)-Taxes!$B$11*$C101),0))</f>
        <v>EXPIRED</v>
      </c>
      <c r="R101" s="43" t="str">
        <f ca="1">IF(Message&lt;&gt;"",Message,IF(AND(P101&lt;=0,N101&gt;0),+N101*RealEstate!O$117,0))</f>
        <v>EXPIRED</v>
      </c>
      <c r="S101" s="23" t="str">
        <f ca="1">IF(Message&lt;&gt;"",Message,IF(AND(P101&lt;=0,N101&gt;0),+N101*RealEstate!O$118,0))</f>
        <v>EXPIRED</v>
      </c>
      <c r="T101" s="23" t="str">
        <f ca="1">IF(Message&lt;&gt;"",Message,IF(AND(P101&lt;=0,N101&gt;0),+RealEstate!O$119*$C101,0))</f>
        <v>EXPIRED</v>
      </c>
      <c r="U101" s="44" t="str">
        <f ca="1">IF(Message&lt;&gt;"",Message,IF(AND(P101&lt;=0,N101&gt;0),+RealEstate!O$120*$C101,0))</f>
        <v>EXPIRED</v>
      </c>
      <c r="V101" s="23" t="str">
        <f ca="1">IF(Message&lt;&gt;"",Message,+X100*RealEstate!O$115)</f>
        <v>EXPIRED</v>
      </c>
      <c r="W101" s="23" t="str">
        <f ca="1">IF(Message&lt;&gt;"",Message,+IF(P101&gt;0,-P101*RealEstate!O$113,IF(X100&lt;=0.1,0,IF(N102=0,X100,IF(W100&gt;0,SUM(V100:W100)-V101,X100/100000*O$116-V101)))))</f>
        <v>EXPIRED</v>
      </c>
      <c r="X101" s="44" t="str">
        <f ca="1">IF(Message&lt;&gt;"",Message,+IF(P101&gt;0,P101*RealEstate!O$113,X100-W101))</f>
        <v>EXPIRED</v>
      </c>
      <c r="Y101" s="20" t="str">
        <f t="shared" ca="1" si="42"/>
        <v>EXPIRED</v>
      </c>
      <c r="Z101" s="40"/>
      <c r="AA101" s="20" t="str">
        <f ca="1">IF(Message&lt;&gt;"",Message,IF(OR($B101&gt;RealEstate!AB$112,$B101&lt;RealEstate!AB$111),0,RealEstate!AB$109*(1+inflation+RealEstate!AB$110)^$A101))</f>
        <v>EXPIRED</v>
      </c>
      <c r="AB101" s="23" t="str">
        <f t="shared" ca="1" si="43"/>
        <v>EXPIRED</v>
      </c>
      <c r="AC101" s="23" t="str">
        <f ca="1">IF(Message&lt;&gt;"",Message,IF($B101=RealEstate!AB$111,AA101*(1+$C$3),0)+IF(O101=RealEstate!AB$112,-AA101*(1-$C$2),0))</f>
        <v>EXPIRED</v>
      </c>
      <c r="AD101" s="53" t="str">
        <f ca="1">IF(Message&lt;&gt;"",Message,+IF(AC101&lt;0,MAX(0,AA101 - RealEstate!AB$109*(1+RealEstate!AB$110)^(MAX(age,RealEstate!AB$111)-age)-Taxes!$B$11*$C101),0))</f>
        <v>EXPIRED</v>
      </c>
      <c r="AE101" s="43" t="str">
        <f ca="1">IF(Message&lt;&gt;"",Message,IF(AND(AC101&lt;=0,AA101&gt;0),+AA101*RealEstate!AB$117,0))</f>
        <v>EXPIRED</v>
      </c>
      <c r="AF101" s="23" t="str">
        <f ca="1">IF(Message&lt;&gt;"",Message,IF(AND(AC101&lt;=0,AA101&gt;0),+AA101*RealEstate!AB$118,0))</f>
        <v>EXPIRED</v>
      </c>
      <c r="AG101" s="23" t="str">
        <f ca="1">IF(Message&lt;&gt;"",Message,IF(AND(AC101&lt;=0,AA101&gt;0),+RealEstate!AB$119*$C101,0))</f>
        <v>EXPIRED</v>
      </c>
      <c r="AH101" s="44" t="str">
        <f ca="1">IF(Message&lt;&gt;"",Message,IF(AND(AC101&lt;=0,AA101&gt;0),+RealEstate!AB$120*$C101,0))</f>
        <v>EXPIRED</v>
      </c>
      <c r="AI101" s="23" t="str">
        <f ca="1">IF(Message&lt;&gt;"",Message,+AK100*RealEstate!AB$115)</f>
        <v>EXPIRED</v>
      </c>
      <c r="AJ101" s="23" t="str">
        <f ca="1">IF(Message&lt;&gt;"",Message,+IF(AC101&gt;0,-AC101*RealEstate!AB$113,IF(AK100&lt;=0.1,0,IF(AA102=0,AK100,IF(AJ100&gt;0,SUM(AI100:AJ100)-AI101,AK100/100000*AB$116-AI101)))))</f>
        <v>EXPIRED</v>
      </c>
      <c r="AK101" s="44" t="str">
        <f ca="1">IF(Message&lt;&gt;"",Message,+IF(AC101&gt;0,AC101*RealEstate!AB$113,AK100-AJ101))</f>
        <v>EXPIRED</v>
      </c>
      <c r="AL101" s="20" t="str">
        <f t="shared" ca="1" si="44"/>
        <v>EXPIRED</v>
      </c>
      <c r="AM101" s="40"/>
    </row>
    <row r="102" spans="1:39" x14ac:dyDescent="0.25">
      <c r="A102" s="14">
        <f t="shared" si="45"/>
        <v>97</v>
      </c>
      <c r="B102" s="14">
        <f t="shared" si="45"/>
        <v>137</v>
      </c>
      <c r="C102" s="38">
        <f t="shared" si="32"/>
        <v>6.8267918431187216</v>
      </c>
      <c r="E102" s="23">
        <f t="shared" ca="1" si="33"/>
        <v>0</v>
      </c>
      <c r="F102" s="20">
        <f t="shared" ca="1" si="39"/>
        <v>0</v>
      </c>
      <c r="G102" s="20">
        <f t="shared" ca="1" si="40"/>
        <v>0</v>
      </c>
      <c r="H102" s="23">
        <f t="shared" ca="1" si="34"/>
        <v>0</v>
      </c>
      <c r="I102" s="20">
        <f t="shared" ca="1" si="35"/>
        <v>0</v>
      </c>
      <c r="J102" s="20">
        <f t="shared" ca="1" si="36"/>
        <v>0</v>
      </c>
      <c r="K102" s="23">
        <f t="shared" ca="1" si="46"/>
        <v>0</v>
      </c>
      <c r="L102" s="23">
        <f t="shared" ca="1" si="37"/>
        <v>0</v>
      </c>
      <c r="M102" s="40"/>
      <c r="N102" s="20" t="str">
        <f ca="1">IF(Message&lt;&gt;"",Message,IF(OR($B102&gt;RealEstate!O$112,$B102&lt;RealEstate!O$111),0,RealEstate!O$109*(1+inflation+RealEstate!O$110)^$A102))</f>
        <v>EXPIRED</v>
      </c>
      <c r="O102" s="23" t="str">
        <f t="shared" ca="1" si="41"/>
        <v>EXPIRED</v>
      </c>
      <c r="P102" s="23" t="str">
        <f ca="1">IF(Message&lt;&gt;"",Message,IF($B102=RealEstate!O$111,N102*(1+$C$3),0)+IF(B102=RealEstate!O$112,-N102*(1-$C$2),0))</f>
        <v>EXPIRED</v>
      </c>
      <c r="Q102" s="53" t="str">
        <f ca="1">IF(Message&lt;&gt;"",Message,+IF(P102&lt;0,MAX(0,N102 - RealEstate!O$109*(1+RealEstate!O$110)^(MAX(age,RealEstate!O$111)-age)-Taxes!$B$11*$C102),0))</f>
        <v>EXPIRED</v>
      </c>
      <c r="R102" s="43" t="str">
        <f ca="1">IF(Message&lt;&gt;"",Message,IF(AND(P102&lt;=0,N102&gt;0),+N102*RealEstate!O$117,0))</f>
        <v>EXPIRED</v>
      </c>
      <c r="S102" s="23" t="str">
        <f ca="1">IF(Message&lt;&gt;"",Message,IF(AND(P102&lt;=0,N102&gt;0),+N102*RealEstate!O$118,0))</f>
        <v>EXPIRED</v>
      </c>
      <c r="T102" s="23" t="str">
        <f ca="1">IF(Message&lt;&gt;"",Message,IF(AND(P102&lt;=0,N102&gt;0),+RealEstate!O$119*$C102,0))</f>
        <v>EXPIRED</v>
      </c>
      <c r="U102" s="44" t="str">
        <f ca="1">IF(Message&lt;&gt;"",Message,IF(AND(P102&lt;=0,N102&gt;0),+RealEstate!O$120*$C102,0))</f>
        <v>EXPIRED</v>
      </c>
      <c r="V102" s="23" t="str">
        <f ca="1">IF(Message&lt;&gt;"",Message,+X101*RealEstate!O$115)</f>
        <v>EXPIRED</v>
      </c>
      <c r="W102" s="23" t="str">
        <f ca="1">IF(Message&lt;&gt;"",Message,+IF(P102&gt;0,-P102*RealEstate!O$113,IF(X101&lt;=0.1,0,IF(N103=0,X101,IF(W101&gt;0,SUM(V101:W101)-V102,X101/100000*O$116-V102)))))</f>
        <v>EXPIRED</v>
      </c>
      <c r="X102" s="44" t="str">
        <f ca="1">IF(Message&lt;&gt;"",Message,+IF(P102&gt;0,P102*RealEstate!O$113,X101-W102))</f>
        <v>EXPIRED</v>
      </c>
      <c r="Y102" s="20" t="str">
        <f t="shared" ca="1" si="42"/>
        <v>EXPIRED</v>
      </c>
      <c r="Z102" s="40"/>
      <c r="AA102" s="20" t="str">
        <f ca="1">IF(Message&lt;&gt;"",Message,IF(OR($B102&gt;RealEstate!AB$112,$B102&lt;RealEstate!AB$111),0,RealEstate!AB$109*(1+inflation+RealEstate!AB$110)^$A102))</f>
        <v>EXPIRED</v>
      </c>
      <c r="AB102" s="23" t="str">
        <f t="shared" ca="1" si="43"/>
        <v>EXPIRED</v>
      </c>
      <c r="AC102" s="23" t="str">
        <f ca="1">IF(Message&lt;&gt;"",Message,IF($B102=RealEstate!AB$111,AA102*(1+$C$3),0)+IF(O102=RealEstate!AB$112,-AA102*(1-$C$2),0))</f>
        <v>EXPIRED</v>
      </c>
      <c r="AD102" s="53" t="str">
        <f ca="1">IF(Message&lt;&gt;"",Message,+IF(AC102&lt;0,MAX(0,AA102 - RealEstate!AB$109*(1+RealEstate!AB$110)^(MAX(age,RealEstate!AB$111)-age)-Taxes!$B$11*$C102),0))</f>
        <v>EXPIRED</v>
      </c>
      <c r="AE102" s="43" t="str">
        <f ca="1">IF(Message&lt;&gt;"",Message,IF(AND(AC102&lt;=0,AA102&gt;0),+AA102*RealEstate!AB$117,0))</f>
        <v>EXPIRED</v>
      </c>
      <c r="AF102" s="23" t="str">
        <f ca="1">IF(Message&lt;&gt;"",Message,IF(AND(AC102&lt;=0,AA102&gt;0),+AA102*RealEstate!AB$118,0))</f>
        <v>EXPIRED</v>
      </c>
      <c r="AG102" s="23" t="str">
        <f ca="1">IF(Message&lt;&gt;"",Message,IF(AND(AC102&lt;=0,AA102&gt;0),+RealEstate!AB$119*$C102,0))</f>
        <v>EXPIRED</v>
      </c>
      <c r="AH102" s="44" t="str">
        <f ca="1">IF(Message&lt;&gt;"",Message,IF(AND(AC102&lt;=0,AA102&gt;0),+RealEstate!AB$120*$C102,0))</f>
        <v>EXPIRED</v>
      </c>
      <c r="AI102" s="23" t="str">
        <f ca="1">IF(Message&lt;&gt;"",Message,+AK101*RealEstate!AB$115)</f>
        <v>EXPIRED</v>
      </c>
      <c r="AJ102" s="23" t="str">
        <f ca="1">IF(Message&lt;&gt;"",Message,+IF(AC102&gt;0,-AC102*RealEstate!AB$113,IF(AK101&lt;=0.1,0,IF(AA103=0,AK101,IF(AJ101&gt;0,SUM(AI101:AJ101)-AI102,AK101/100000*AB$116-AI102)))))</f>
        <v>EXPIRED</v>
      </c>
      <c r="AK102" s="44" t="str">
        <f ca="1">IF(Message&lt;&gt;"",Message,+IF(AC102&gt;0,AC102*RealEstate!AB$113,AK101-AJ102))</f>
        <v>EXPIRED</v>
      </c>
      <c r="AL102" s="20" t="str">
        <f t="shared" ca="1" si="44"/>
        <v>EXPIRED</v>
      </c>
      <c r="AM102" s="40"/>
    </row>
    <row r="103" spans="1:39" x14ac:dyDescent="0.25">
      <c r="A103" s="14">
        <f t="shared" ref="A103:B105" si="47">+A102+1</f>
        <v>98</v>
      </c>
      <c r="B103" s="14">
        <f t="shared" si="47"/>
        <v>138</v>
      </c>
      <c r="C103" s="38">
        <f t="shared" si="32"/>
        <v>6.963327679981095</v>
      </c>
      <c r="E103" s="23">
        <f t="shared" ca="1" si="33"/>
        <v>0</v>
      </c>
      <c r="F103" s="20">
        <f t="shared" ca="1" si="39"/>
        <v>0</v>
      </c>
      <c r="G103" s="20">
        <f t="shared" ca="1" si="40"/>
        <v>0</v>
      </c>
      <c r="H103" s="23">
        <f t="shared" ca="1" si="34"/>
        <v>0</v>
      </c>
      <c r="I103" s="20">
        <f t="shared" ca="1" si="35"/>
        <v>0</v>
      </c>
      <c r="J103" s="20">
        <f t="shared" ca="1" si="36"/>
        <v>0</v>
      </c>
      <c r="K103" s="23">
        <f t="shared" ca="1" si="46"/>
        <v>0</v>
      </c>
      <c r="L103" s="23">
        <f t="shared" ca="1" si="37"/>
        <v>0</v>
      </c>
      <c r="M103" s="40"/>
      <c r="N103" s="20" t="str">
        <f ca="1">IF(Message&lt;&gt;"",Message,IF(OR($B103&gt;RealEstate!O$112,$B103&lt;RealEstate!O$111),0,RealEstate!O$109*(1+inflation+RealEstate!O$110)^$A103))</f>
        <v>EXPIRED</v>
      </c>
      <c r="O103" s="23" t="str">
        <f t="shared" ca="1" si="41"/>
        <v>EXPIRED</v>
      </c>
      <c r="P103" s="23" t="str">
        <f ca="1">IF(Message&lt;&gt;"",Message,IF($B103=RealEstate!O$111,N103*(1+$C$3),0)+IF(B103=RealEstate!O$112,-N103*(1-$C$2),0))</f>
        <v>EXPIRED</v>
      </c>
      <c r="Q103" s="53" t="str">
        <f ca="1">IF(Message&lt;&gt;"",Message,+IF(P103&lt;0,MAX(0,N103 - RealEstate!O$109*(1+RealEstate!O$110)^(MAX(age,RealEstate!O$111)-age)-Taxes!$B$11*$C103),0))</f>
        <v>EXPIRED</v>
      </c>
      <c r="R103" s="43" t="str">
        <f ca="1">IF(Message&lt;&gt;"",Message,IF(AND(P103&lt;=0,N103&gt;0),+N103*RealEstate!O$117,0))</f>
        <v>EXPIRED</v>
      </c>
      <c r="S103" s="23" t="str">
        <f ca="1">IF(Message&lt;&gt;"",Message,IF(AND(P103&lt;=0,N103&gt;0),+N103*RealEstate!O$118,0))</f>
        <v>EXPIRED</v>
      </c>
      <c r="T103" s="23" t="str">
        <f ca="1">IF(Message&lt;&gt;"",Message,IF(AND(P103&lt;=0,N103&gt;0),+RealEstate!O$119*$C103,0))</f>
        <v>EXPIRED</v>
      </c>
      <c r="U103" s="44" t="str">
        <f ca="1">IF(Message&lt;&gt;"",Message,IF(AND(P103&lt;=0,N103&gt;0),+RealEstate!O$120*$C103,0))</f>
        <v>EXPIRED</v>
      </c>
      <c r="V103" s="23" t="str">
        <f ca="1">IF(Message&lt;&gt;"",Message,+X102*RealEstate!O$115)</f>
        <v>EXPIRED</v>
      </c>
      <c r="W103" s="23" t="str">
        <f ca="1">IF(Message&lt;&gt;"",Message,+IF(P103&gt;0,-P103*RealEstate!O$113,IF(X102&lt;=0.1,0,IF(N104=0,X102,IF(W102&gt;0,SUM(V102:W102)-V103,X102/100000*O$116-V103)))))</f>
        <v>EXPIRED</v>
      </c>
      <c r="X103" s="44" t="str">
        <f ca="1">IF(Message&lt;&gt;"",Message,+IF(P103&gt;0,P103*RealEstate!O$113,X102-W103))</f>
        <v>EXPIRED</v>
      </c>
      <c r="Y103" s="20" t="str">
        <f t="shared" ca="1" si="42"/>
        <v>EXPIRED</v>
      </c>
      <c r="Z103" s="40"/>
      <c r="AA103" s="20" t="str">
        <f ca="1">IF(Message&lt;&gt;"",Message,IF(OR($B103&gt;RealEstate!AB$112,$B103&lt;RealEstate!AB$111),0,RealEstate!AB$109*(1+inflation+RealEstate!AB$110)^$A103))</f>
        <v>EXPIRED</v>
      </c>
      <c r="AB103" s="23" t="str">
        <f t="shared" ca="1" si="43"/>
        <v>EXPIRED</v>
      </c>
      <c r="AC103" s="23" t="str">
        <f ca="1">IF(Message&lt;&gt;"",Message,IF($B103=RealEstate!AB$111,AA103*(1+$C$3),0)+IF(O103=RealEstate!AB$112,-AA103*(1-$C$2),0))</f>
        <v>EXPIRED</v>
      </c>
      <c r="AD103" s="53" t="str">
        <f ca="1">IF(Message&lt;&gt;"",Message,+IF(AC103&lt;0,MAX(0,AA103 - RealEstate!AB$109*(1+RealEstate!AB$110)^(MAX(age,RealEstate!AB$111)-age)-Taxes!$B$11*$C103),0))</f>
        <v>EXPIRED</v>
      </c>
      <c r="AE103" s="43" t="str">
        <f ca="1">IF(Message&lt;&gt;"",Message,IF(AND(AC103&lt;=0,AA103&gt;0),+AA103*RealEstate!AB$117,0))</f>
        <v>EXPIRED</v>
      </c>
      <c r="AF103" s="23" t="str">
        <f ca="1">IF(Message&lt;&gt;"",Message,IF(AND(AC103&lt;=0,AA103&gt;0),+AA103*RealEstate!AB$118,0))</f>
        <v>EXPIRED</v>
      </c>
      <c r="AG103" s="23" t="str">
        <f ca="1">IF(Message&lt;&gt;"",Message,IF(AND(AC103&lt;=0,AA103&gt;0),+RealEstate!AB$119*$C103,0))</f>
        <v>EXPIRED</v>
      </c>
      <c r="AH103" s="44" t="str">
        <f ca="1">IF(Message&lt;&gt;"",Message,IF(AND(AC103&lt;=0,AA103&gt;0),+RealEstate!AB$120*$C103,0))</f>
        <v>EXPIRED</v>
      </c>
      <c r="AI103" s="23" t="str">
        <f ca="1">IF(Message&lt;&gt;"",Message,+AK102*RealEstate!AB$115)</f>
        <v>EXPIRED</v>
      </c>
      <c r="AJ103" s="23" t="str">
        <f ca="1">IF(Message&lt;&gt;"",Message,+IF(AC103&gt;0,-AC103*RealEstate!AB$113,IF(AK102&lt;=0.1,0,IF(AA104=0,AK102,IF(AJ102&gt;0,SUM(AI102:AJ102)-AI103,AK102/100000*AB$116-AI103)))))</f>
        <v>EXPIRED</v>
      </c>
      <c r="AK103" s="44" t="str">
        <f ca="1">IF(Message&lt;&gt;"",Message,+IF(AC103&gt;0,AC103*RealEstate!AB$113,AK102-AJ103))</f>
        <v>EXPIRED</v>
      </c>
      <c r="AL103" s="20" t="str">
        <f t="shared" ca="1" si="44"/>
        <v>EXPIRED</v>
      </c>
      <c r="AM103" s="40"/>
    </row>
    <row r="104" spans="1:39" x14ac:dyDescent="0.25">
      <c r="A104" s="14">
        <f t="shared" si="47"/>
        <v>99</v>
      </c>
      <c r="B104" s="14">
        <f t="shared" si="47"/>
        <v>139</v>
      </c>
      <c r="C104" s="38">
        <f t="shared" si="32"/>
        <v>7.1025942335807173</v>
      </c>
      <c r="E104" s="23">
        <f t="shared" ca="1" si="33"/>
        <v>0</v>
      </c>
      <c r="F104" s="20">
        <f t="shared" ca="1" si="39"/>
        <v>0</v>
      </c>
      <c r="G104" s="20">
        <f t="shared" ca="1" si="40"/>
        <v>0</v>
      </c>
      <c r="H104" s="23">
        <f t="shared" ca="1" si="34"/>
        <v>0</v>
      </c>
      <c r="I104" s="20">
        <f t="shared" ca="1" si="35"/>
        <v>0</v>
      </c>
      <c r="J104" s="20">
        <f t="shared" ca="1" si="36"/>
        <v>0</v>
      </c>
      <c r="K104" s="23">
        <f t="shared" ca="1" si="46"/>
        <v>0</v>
      </c>
      <c r="L104" s="23">
        <f t="shared" ca="1" si="37"/>
        <v>0</v>
      </c>
      <c r="M104" s="40"/>
      <c r="N104" s="20" t="str">
        <f ca="1">IF(Message&lt;&gt;"",Message,IF(OR($B104&gt;RealEstate!O$112,$B104&lt;RealEstate!O$111),0,RealEstate!O$109*(1+inflation+RealEstate!O$110)^$A104))</f>
        <v>EXPIRED</v>
      </c>
      <c r="O104" s="23" t="str">
        <f t="shared" ca="1" si="41"/>
        <v>EXPIRED</v>
      </c>
      <c r="P104" s="23" t="str">
        <f ca="1">IF(Message&lt;&gt;"",Message,IF($B104=RealEstate!O$111,N104*(1+$C$3),0)+IF(B104=RealEstate!O$112,-N104*(1-$C$2),0))</f>
        <v>EXPIRED</v>
      </c>
      <c r="Q104" s="53" t="str">
        <f ca="1">IF(Message&lt;&gt;"",Message,+IF(P104&lt;0,MAX(0,N104 - RealEstate!O$109*(1+RealEstate!O$110)^(MAX(age,RealEstate!O$111)-age)-Taxes!$B$11*$C104),0))</f>
        <v>EXPIRED</v>
      </c>
      <c r="R104" s="43" t="str">
        <f ca="1">IF(Message&lt;&gt;"",Message,IF(AND(P104&lt;=0,N104&gt;0),+N104*RealEstate!O$117,0))</f>
        <v>EXPIRED</v>
      </c>
      <c r="S104" s="23" t="str">
        <f ca="1">IF(Message&lt;&gt;"",Message,IF(AND(P104&lt;=0,N104&gt;0),+N104*RealEstate!O$118,0))</f>
        <v>EXPIRED</v>
      </c>
      <c r="T104" s="23" t="str">
        <f ca="1">IF(Message&lt;&gt;"",Message,IF(AND(P104&lt;=0,N104&gt;0),+RealEstate!O$119*$C104,0))</f>
        <v>EXPIRED</v>
      </c>
      <c r="U104" s="44" t="str">
        <f ca="1">IF(Message&lt;&gt;"",Message,IF(AND(P104&lt;=0,N104&gt;0),+RealEstate!O$120*$C104,0))</f>
        <v>EXPIRED</v>
      </c>
      <c r="V104" s="23" t="str">
        <f ca="1">IF(Message&lt;&gt;"",Message,+X103*RealEstate!O$115)</f>
        <v>EXPIRED</v>
      </c>
      <c r="W104" s="23" t="str">
        <f ca="1">IF(Message&lt;&gt;"",Message,+IF(P104&gt;0,-P104*RealEstate!O$113,IF(X103&lt;=0.1,0,IF(N105=0,X103,IF(W103&gt;0,SUM(V103:W103)-V104,X103/100000*O$116-V104)))))</f>
        <v>EXPIRED</v>
      </c>
      <c r="X104" s="44" t="str">
        <f ca="1">IF(Message&lt;&gt;"",Message,+IF(P104&gt;0,P104*RealEstate!O$113,X103-W104))</f>
        <v>EXPIRED</v>
      </c>
      <c r="Y104" s="20" t="str">
        <f t="shared" ca="1" si="42"/>
        <v>EXPIRED</v>
      </c>
      <c r="Z104" s="40"/>
      <c r="AA104" s="20" t="str">
        <f ca="1">IF(Message&lt;&gt;"",Message,IF(OR($B104&gt;RealEstate!AB$112,$B104&lt;RealEstate!AB$111),0,RealEstate!AB$109*(1+inflation+RealEstate!AB$110)^$A104))</f>
        <v>EXPIRED</v>
      </c>
      <c r="AB104" s="23" t="str">
        <f t="shared" ca="1" si="43"/>
        <v>EXPIRED</v>
      </c>
      <c r="AC104" s="23" t="str">
        <f ca="1">IF(Message&lt;&gt;"",Message,IF($B104=RealEstate!AB$111,AA104*(1+$C$3),0)+IF(O104=RealEstate!AB$112,-AA104*(1-$C$2),0))</f>
        <v>EXPIRED</v>
      </c>
      <c r="AD104" s="53" t="str">
        <f ca="1">IF(Message&lt;&gt;"",Message,+IF(AC104&lt;0,MAX(0,AA104 - RealEstate!AB$109*(1+RealEstate!AB$110)^(MAX(age,RealEstate!AB$111)-age)-Taxes!$B$11*$C104),0))</f>
        <v>EXPIRED</v>
      </c>
      <c r="AE104" s="43" t="str">
        <f ca="1">IF(Message&lt;&gt;"",Message,IF(AND(AC104&lt;=0,AA104&gt;0),+AA104*RealEstate!AB$117,0))</f>
        <v>EXPIRED</v>
      </c>
      <c r="AF104" s="23" t="str">
        <f ca="1">IF(Message&lt;&gt;"",Message,IF(AND(AC104&lt;=0,AA104&gt;0),+AA104*RealEstate!AB$118,0))</f>
        <v>EXPIRED</v>
      </c>
      <c r="AG104" s="23" t="str">
        <f ca="1">IF(Message&lt;&gt;"",Message,IF(AND(AC104&lt;=0,AA104&gt;0),+RealEstate!AB$119*$C104,0))</f>
        <v>EXPIRED</v>
      </c>
      <c r="AH104" s="44" t="str">
        <f ca="1">IF(Message&lt;&gt;"",Message,IF(AND(AC104&lt;=0,AA104&gt;0),+RealEstate!AB$120*$C104,0))</f>
        <v>EXPIRED</v>
      </c>
      <c r="AI104" s="23" t="str">
        <f ca="1">IF(Message&lt;&gt;"",Message,+AK103*RealEstate!AB$115)</f>
        <v>EXPIRED</v>
      </c>
      <c r="AJ104" s="23" t="str">
        <f ca="1">IF(Message&lt;&gt;"",Message,+IF(AC104&gt;0,-AC104*RealEstate!AB$113,IF(AK103&lt;=0.1,0,IF(AA105=0,AK103,IF(AJ103&gt;0,SUM(AI103:AJ103)-AI104,AK103/100000*AB$116-AI104)))))</f>
        <v>EXPIRED</v>
      </c>
      <c r="AK104" s="44" t="str">
        <f ca="1">IF(Message&lt;&gt;"",Message,+IF(AC104&gt;0,AC104*RealEstate!AB$113,AK103-AJ104))</f>
        <v>EXPIRED</v>
      </c>
      <c r="AL104" s="20" t="str">
        <f t="shared" ca="1" si="44"/>
        <v>EXPIRED</v>
      </c>
      <c r="AM104" s="40"/>
    </row>
    <row r="105" spans="1:39" x14ac:dyDescent="0.25">
      <c r="A105" s="15">
        <f t="shared" si="47"/>
        <v>100</v>
      </c>
      <c r="B105" s="15">
        <f t="shared" si="47"/>
        <v>140</v>
      </c>
      <c r="C105" s="38">
        <f t="shared" si="32"/>
        <v>7.244646118252331</v>
      </c>
      <c r="E105" s="23">
        <f t="shared" ca="1" si="33"/>
        <v>0</v>
      </c>
      <c r="F105" s="20">
        <f t="shared" ca="1" si="39"/>
        <v>0</v>
      </c>
      <c r="G105" s="20">
        <f t="shared" ca="1" si="40"/>
        <v>0</v>
      </c>
      <c r="H105" s="23">
        <f t="shared" ca="1" si="34"/>
        <v>0</v>
      </c>
      <c r="I105" s="20">
        <f t="shared" ca="1" si="35"/>
        <v>0</v>
      </c>
      <c r="J105" s="20">
        <f t="shared" ca="1" si="36"/>
        <v>0</v>
      </c>
      <c r="K105" s="23">
        <f t="shared" ca="1" si="46"/>
        <v>0</v>
      </c>
      <c r="L105" s="23">
        <f t="shared" ca="1" si="37"/>
        <v>0</v>
      </c>
      <c r="M105" s="40"/>
      <c r="N105" s="20" t="str">
        <f ca="1">IF(Message&lt;&gt;"",Message,IF(OR($B105&gt;RealEstate!O$112,$B105&lt;RealEstate!O$111),0,RealEstate!O$109*(1+inflation+RealEstate!O$110)^$A105))</f>
        <v>EXPIRED</v>
      </c>
      <c r="O105" s="23" t="str">
        <f t="shared" ca="1" si="41"/>
        <v>EXPIRED</v>
      </c>
      <c r="P105" s="23" t="str">
        <f ca="1">IF(Message&lt;&gt;"",Message,IF($B105=RealEstate!O$111,N105*(1+$C$3),0)+IF(B105=RealEstate!O$112,-N105*(1-$C$2),0))</f>
        <v>EXPIRED</v>
      </c>
      <c r="Q105" s="53" t="str">
        <f ca="1">IF(Message&lt;&gt;"",Message,+IF(P105&lt;0,MAX(0,N105 - RealEstate!O$109*(1+RealEstate!O$110)^(MAX(age,RealEstate!O$111)-age)-Taxes!$B$11*$C105),0))</f>
        <v>EXPIRED</v>
      </c>
      <c r="R105" s="43" t="str">
        <f ca="1">IF(Message&lt;&gt;"",Message,IF(AND(P105&lt;=0,N105&gt;0),+N105*RealEstate!O$117,0))</f>
        <v>EXPIRED</v>
      </c>
      <c r="S105" s="23" t="str">
        <f ca="1">IF(Message&lt;&gt;"",Message,IF(AND(P105&lt;=0,N105&gt;0),+N105*RealEstate!O$118,0))</f>
        <v>EXPIRED</v>
      </c>
      <c r="T105" s="23" t="str">
        <f ca="1">IF(Message&lt;&gt;"",Message,IF(AND(P105&lt;=0,N105&gt;0),+RealEstate!O$119*$C105,0))</f>
        <v>EXPIRED</v>
      </c>
      <c r="U105" s="44" t="str">
        <f ca="1">IF(Message&lt;&gt;"",Message,IF(AND(P105&lt;=0,N105&gt;0),+RealEstate!O$120*$C105,0))</f>
        <v>EXPIRED</v>
      </c>
      <c r="V105" s="23" t="str">
        <f ca="1">IF(Message&lt;&gt;"",Message,+X104*RealEstate!O$115)</f>
        <v>EXPIRED</v>
      </c>
      <c r="W105" s="23" t="str">
        <f ca="1">IF(Message&lt;&gt;"",Message,+IF(P105&gt;0,-P105*RealEstate!O$113,IF(X104&lt;=0.1,0,IF(N106=0,X104,IF(W104&gt;0,SUM(V104:W104)-V105,X104/100000*O$116-V105)))))</f>
        <v>EXPIRED</v>
      </c>
      <c r="X105" s="44" t="str">
        <f ca="1">IF(Message&lt;&gt;"",Message,+IF(P105&gt;0,P105*RealEstate!O$113,X104-W105))</f>
        <v>EXPIRED</v>
      </c>
      <c r="Y105" s="20" t="str">
        <f t="shared" ca="1" si="42"/>
        <v>EXPIRED</v>
      </c>
      <c r="Z105" s="40"/>
      <c r="AA105" s="20" t="str">
        <f ca="1">IF(Message&lt;&gt;"",Message,IF(OR($B105&gt;RealEstate!AB$112,$B105&lt;RealEstate!AB$111),0,RealEstate!AB$109*(1+inflation+RealEstate!AB$110)^$A105))</f>
        <v>EXPIRED</v>
      </c>
      <c r="AB105" s="23" t="str">
        <f t="shared" ca="1" si="43"/>
        <v>EXPIRED</v>
      </c>
      <c r="AC105" s="23" t="str">
        <f ca="1">IF(Message&lt;&gt;"",Message,IF($B105=RealEstate!AB$111,AA105*(1+$C$3),0)+IF(O105=RealEstate!AB$112,-AA105*(1-$C$2),0))</f>
        <v>EXPIRED</v>
      </c>
      <c r="AD105" s="53" t="str">
        <f ca="1">IF(Message&lt;&gt;"",Message,+IF(AC105&lt;0,MAX(0,AA105 - RealEstate!AB$109*(1+RealEstate!AB$110)^(MAX(age,RealEstate!AB$111)-age)-Taxes!$B$11*$C105),0))</f>
        <v>EXPIRED</v>
      </c>
      <c r="AE105" s="43" t="str">
        <f ca="1">IF(Message&lt;&gt;"",Message,IF(AND(AC105&lt;=0,AA105&gt;0),+AA105*RealEstate!AB$117,0))</f>
        <v>EXPIRED</v>
      </c>
      <c r="AF105" s="23" t="str">
        <f ca="1">IF(Message&lt;&gt;"",Message,IF(AND(AC105&lt;=0,AA105&gt;0),+AA105*RealEstate!AB$118,0))</f>
        <v>EXPIRED</v>
      </c>
      <c r="AG105" s="23" t="str">
        <f ca="1">IF(Message&lt;&gt;"",Message,IF(AND(AC105&lt;=0,AA105&gt;0),+RealEstate!AB$119*$C105,0))</f>
        <v>EXPIRED</v>
      </c>
      <c r="AH105" s="44" t="str">
        <f ca="1">IF(Message&lt;&gt;"",Message,IF(AND(AC105&lt;=0,AA105&gt;0),+RealEstate!AB$120*$C105,0))</f>
        <v>EXPIRED</v>
      </c>
      <c r="AI105" s="23" t="str">
        <f ca="1">IF(Message&lt;&gt;"",Message,+AK104*RealEstate!AB$115)</f>
        <v>EXPIRED</v>
      </c>
      <c r="AJ105" s="23" t="str">
        <f ca="1">IF(Message&lt;&gt;"",Message,+IF(AC105&gt;0,-AC105*RealEstate!AB$113,IF(AK104&lt;=0.1,0,IF(AA106=0,AK104,IF(AJ104&gt;0,SUM(AI104:AJ104)-AI105,AK104/100000*AB$116-AI105)))))</f>
        <v>EXPIRED</v>
      </c>
      <c r="AK105" s="44" t="str">
        <f ca="1">IF(Message&lt;&gt;"",Message,+IF(AC105&gt;0,AC105*RealEstate!AB$113,AK104-AJ105))</f>
        <v>EXPIRED</v>
      </c>
      <c r="AL105" s="20" t="str">
        <f t="shared" ca="1" si="44"/>
        <v>EXPIRED</v>
      </c>
      <c r="AM105" s="40"/>
    </row>
    <row r="107" spans="1:39" x14ac:dyDescent="0.25">
      <c r="N107" s="54" t="s">
        <v>115</v>
      </c>
      <c r="O107" s="54"/>
      <c r="AA107" s="54" t="s">
        <v>115</v>
      </c>
      <c r="AB107" s="54"/>
    </row>
    <row r="108" spans="1:39" x14ac:dyDescent="0.25">
      <c r="N108" s="12" t="s">
        <v>104</v>
      </c>
      <c r="O108" s="56" t="str">
        <f>+Dashboard!B36</f>
        <v>Current Home</v>
      </c>
      <c r="AA108" s="12" t="s">
        <v>104</v>
      </c>
      <c r="AB108" s="56" t="str">
        <f>+Dashboard!C36</f>
        <v>Retirement Home</v>
      </c>
    </row>
    <row r="109" spans="1:39" x14ac:dyDescent="0.25">
      <c r="N109" s="12" t="s">
        <v>93</v>
      </c>
      <c r="O109" s="57">
        <f>MAX(0.01,+Dashboard!B37)</f>
        <v>350000</v>
      </c>
      <c r="AA109" s="12" t="s">
        <v>93</v>
      </c>
      <c r="AB109" s="57">
        <f>MAX(0.01,+Dashboard!C37)</f>
        <v>250000</v>
      </c>
    </row>
    <row r="110" spans="1:39" ht="30" x14ac:dyDescent="0.25">
      <c r="N110" s="13" t="s">
        <v>29</v>
      </c>
      <c r="O110" s="55">
        <f>+Dashboard!B38</f>
        <v>0</v>
      </c>
      <c r="AA110" s="13" t="s">
        <v>29</v>
      </c>
      <c r="AB110" s="55">
        <f>+Dashboard!C38</f>
        <v>0</v>
      </c>
    </row>
    <row r="111" spans="1:39" x14ac:dyDescent="0.25">
      <c r="N111" s="13" t="s">
        <v>41</v>
      </c>
      <c r="O111" s="41">
        <f>+Dashboard!B39</f>
        <v>0</v>
      </c>
      <c r="AA111" s="13" t="s">
        <v>41</v>
      </c>
      <c r="AB111" s="41">
        <f>+Dashboard!C39</f>
        <v>67</v>
      </c>
    </row>
    <row r="112" spans="1:39" x14ac:dyDescent="0.25">
      <c r="N112" s="13" t="s">
        <v>42</v>
      </c>
      <c r="O112" s="41">
        <f>+Dashboard!B40</f>
        <v>67</v>
      </c>
      <c r="AA112" s="13" t="s">
        <v>42</v>
      </c>
      <c r="AB112" s="41">
        <f>+Dashboard!C40</f>
        <v>999</v>
      </c>
    </row>
    <row r="113" spans="14:28" x14ac:dyDescent="0.25">
      <c r="N113" s="42" t="s">
        <v>43</v>
      </c>
      <c r="O113" s="55">
        <f>+Dashboard!B41</f>
        <v>0.6</v>
      </c>
      <c r="AA113" s="42" t="s">
        <v>43</v>
      </c>
      <c r="AB113" s="55">
        <f>+Dashboard!C41</f>
        <v>0</v>
      </c>
    </row>
    <row r="114" spans="14:28" x14ac:dyDescent="0.25">
      <c r="N114" s="42" t="s">
        <v>37</v>
      </c>
      <c r="O114" s="41">
        <f>+Dashboard!B42</f>
        <v>30</v>
      </c>
      <c r="AA114" s="42" t="s">
        <v>37</v>
      </c>
      <c r="AB114" s="41">
        <f>+Dashboard!C42</f>
        <v>30</v>
      </c>
    </row>
    <row r="115" spans="14:28" x14ac:dyDescent="0.25">
      <c r="N115" s="42" t="s">
        <v>38</v>
      </c>
      <c r="O115" s="55">
        <f>+Dashboard!B43</f>
        <v>0.04</v>
      </c>
      <c r="AA115" s="42" t="s">
        <v>38</v>
      </c>
      <c r="AB115" s="55">
        <f>+Dashboard!C43</f>
        <v>0.04</v>
      </c>
    </row>
    <row r="116" spans="14:28" x14ac:dyDescent="0.25">
      <c r="N116" s="42" t="s">
        <v>111</v>
      </c>
      <c r="O116" s="58">
        <f>100000*(RealEstate!O115*(1+RealEstate!O115)^(RealEstate!O114))/((1+RealEstate!O115)^(RealEstate!O114)-1)</f>
        <v>5783.0099133661306</v>
      </c>
      <c r="AA116" s="42" t="s">
        <v>111</v>
      </c>
      <c r="AB116" s="58">
        <f>100000*(RealEstate!AB115*(1+RealEstate!AB115)^(RealEstate!AB114))/((1+RealEstate!AB115)^(RealEstate!AB114)-1)</f>
        <v>5783.0099133661306</v>
      </c>
    </row>
    <row r="117" spans="14:28" x14ac:dyDescent="0.25">
      <c r="N117" s="13" t="s">
        <v>85</v>
      </c>
      <c r="O117" s="55">
        <f>+Dashboard!B44</f>
        <v>1.4999999999999999E-2</v>
      </c>
      <c r="AA117" s="13" t="s">
        <v>85</v>
      </c>
      <c r="AB117" s="55">
        <f>+Dashboard!C44</f>
        <v>1.4999999999999999E-2</v>
      </c>
    </row>
    <row r="118" spans="14:28" x14ac:dyDescent="0.25">
      <c r="N118" s="13" t="s">
        <v>39</v>
      </c>
      <c r="O118" s="55">
        <f>+Dashboard!B45</f>
        <v>2E-3</v>
      </c>
      <c r="AA118" s="13" t="s">
        <v>39</v>
      </c>
      <c r="AB118" s="55">
        <f>+Dashboard!C45</f>
        <v>2E-3</v>
      </c>
    </row>
    <row r="119" spans="14:28" ht="30" x14ac:dyDescent="0.25">
      <c r="N119" s="13" t="s">
        <v>94</v>
      </c>
      <c r="O119" s="57">
        <f>+Dashboard!B46</f>
        <v>5250</v>
      </c>
      <c r="AA119" s="13" t="s">
        <v>94</v>
      </c>
      <c r="AB119" s="57">
        <f>+Dashboard!C46</f>
        <v>3750</v>
      </c>
    </row>
    <row r="120" spans="14:28" x14ac:dyDescent="0.25">
      <c r="N120" s="13" t="s">
        <v>9</v>
      </c>
      <c r="O120" s="57">
        <f>+Dashboard!B47</f>
        <v>3500</v>
      </c>
      <c r="AA120" s="13" t="s">
        <v>9</v>
      </c>
      <c r="AB120" s="57">
        <f>+Dashboard!C47</f>
        <v>2500</v>
      </c>
    </row>
  </sheetData>
  <mergeCells count="9">
    <mergeCell ref="AA1:AL1"/>
    <mergeCell ref="AA3:AD3"/>
    <mergeCell ref="AE3:AH3"/>
    <mergeCell ref="AI3:AK3"/>
    <mergeCell ref="E1:L1"/>
    <mergeCell ref="N1:Y1"/>
    <mergeCell ref="R3:U3"/>
    <mergeCell ref="V3:X3"/>
    <mergeCell ref="N3:Q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3:K28"/>
  <sheetViews>
    <sheetView workbookViewId="0">
      <selection activeCell="I7" sqref="I7"/>
    </sheetView>
  </sheetViews>
  <sheetFormatPr defaultRowHeight="15" x14ac:dyDescent="0.25"/>
  <cols>
    <col min="6" max="6" width="16.5703125" bestFit="1" customWidth="1"/>
    <col min="9" max="9" width="10.5703125" bestFit="1" customWidth="1"/>
  </cols>
  <sheetData>
    <row r="3" spans="2:10" x14ac:dyDescent="0.3">
      <c r="B3" t="s">
        <v>150</v>
      </c>
    </row>
    <row r="4" spans="2:10" x14ac:dyDescent="0.3">
      <c r="B4" t="e">
        <f>+FIND("G",Activate!B1,1)</f>
        <v>#VALUE!</v>
      </c>
      <c r="C4" t="e">
        <f>+FIND("E",Activate!B1,1)</f>
        <v>#VALUE!</v>
      </c>
      <c r="D4" t="e">
        <f>+FIND("D",Activate!B1,1)</f>
        <v>#VALUE!</v>
      </c>
      <c r="E4">
        <f>+LEN(Activate!B1)</f>
        <v>0</v>
      </c>
      <c r="F4" t="e">
        <f>+MID(Activate!$B$1,B4+1,C4-B4-1)</f>
        <v>#VALUE!</v>
      </c>
      <c r="G4" t="e">
        <f>+MID(Activate!$B$1,C4+1,D4-C4-1)</f>
        <v>#VALUE!</v>
      </c>
      <c r="H4" t="e">
        <f>+MID(Activate!$B$1,D4+1,E4-D4)</f>
        <v>#VALUE!</v>
      </c>
    </row>
    <row r="5" spans="2:10" x14ac:dyDescent="0.3">
      <c r="F5" t="e">
        <f>+F4/3</f>
        <v>#VALUE!</v>
      </c>
      <c r="G5" t="e">
        <f>+G4/3</f>
        <v>#VALUE!</v>
      </c>
      <c r="H5" t="e">
        <f>+H4/3</f>
        <v>#VALUE!</v>
      </c>
      <c r="I5" s="91">
        <f>+IF(ISNUMBER(F5*1000+G5*100+H5),F5*1000+G5*100+H5,0)</f>
        <v>0</v>
      </c>
    </row>
    <row r="6" spans="2:10" x14ac:dyDescent="0.3">
      <c r="H6" t="s">
        <v>153</v>
      </c>
      <c r="I6" s="91">
        <f ca="1">+TODAY()</f>
        <v>43786</v>
      </c>
      <c r="J6" t="b">
        <f ca="1">+I5&gt;I6</f>
        <v>0</v>
      </c>
    </row>
    <row r="7" spans="2:10" x14ac:dyDescent="0.3">
      <c r="H7" s="94" t="s">
        <v>154</v>
      </c>
      <c r="I7" s="94" t="b">
        <f ca="1">IFERROR(IF(I5&gt;=I6,FALSE,TRUE),TRUE)</f>
        <v>1</v>
      </c>
    </row>
    <row r="8" spans="2:10" x14ac:dyDescent="0.3">
      <c r="H8" t="s">
        <v>236</v>
      </c>
      <c r="I8" t="str">
        <f ca="1">IF(expiredLicense,"EXPIRED",IF(AND(Dashboard!B58=1,Dashboard!B59=1),"","Rebal&lt;&gt;100%"))</f>
        <v>EXPIRED</v>
      </c>
    </row>
    <row r="10" spans="2:10" x14ac:dyDescent="0.3">
      <c r="E10" s="75" t="s">
        <v>235</v>
      </c>
      <c r="F10" s="92">
        <v>1003</v>
      </c>
    </row>
    <row r="11" spans="2:10" x14ac:dyDescent="0.3">
      <c r="E11" s="75" t="s">
        <v>151</v>
      </c>
      <c r="F11" s="92">
        <v>3</v>
      </c>
    </row>
    <row r="12" spans="2:10" x14ac:dyDescent="0.3">
      <c r="F12" s="159">
        <f ca="1">+EDATE(I6,F11)</f>
        <v>43878</v>
      </c>
    </row>
    <row r="13" spans="2:10" x14ac:dyDescent="0.3">
      <c r="E13">
        <f ca="1">+INT(F12/1000)</f>
        <v>43</v>
      </c>
      <c r="F13">
        <f ca="1">+VALUE(E13*3)</f>
        <v>129</v>
      </c>
    </row>
    <row r="14" spans="2:10" x14ac:dyDescent="0.3">
      <c r="E14">
        <f ca="1">+INT((F12-E13*1000)/100)</f>
        <v>8</v>
      </c>
      <c r="F14">
        <f ca="1">+VALUE(E14*3)</f>
        <v>24</v>
      </c>
    </row>
    <row r="15" spans="2:10" x14ac:dyDescent="0.3">
      <c r="E15">
        <f ca="1">+F12-E13*1000-E14*100</f>
        <v>78</v>
      </c>
      <c r="F15">
        <f ca="1">+VALUE(E15*3)</f>
        <v>234</v>
      </c>
    </row>
    <row r="16" spans="2:10" x14ac:dyDescent="0.3">
      <c r="E16" s="93" t="s">
        <v>152</v>
      </c>
      <c r="F16" s="94" t="str">
        <f ca="1">+F10&amp;"G"&amp;F13&amp;"E"&amp;F14&amp;"D"&amp;F15</f>
        <v>1003G129E24D234</v>
      </c>
    </row>
    <row r="23" spans="10:11" x14ac:dyDescent="0.3">
      <c r="J23" s="101" t="s">
        <v>34</v>
      </c>
      <c r="K23" s="102" t="s">
        <v>159</v>
      </c>
    </row>
    <row r="24" spans="10:11" x14ac:dyDescent="0.3">
      <c r="J24" s="103" t="s">
        <v>138</v>
      </c>
      <c r="K24" s="106">
        <v>40000</v>
      </c>
    </row>
    <row r="25" spans="10:11" x14ac:dyDescent="0.3">
      <c r="J25" s="98">
        <v>925</v>
      </c>
      <c r="K25" s="99">
        <f>+MIN(K24/12,J25)*0.9</f>
        <v>832.5</v>
      </c>
    </row>
    <row r="26" spans="10:11" x14ac:dyDescent="0.3">
      <c r="J26" s="98">
        <v>5583</v>
      </c>
      <c r="K26" s="99">
        <f>MAX(0,MIN(K24/12-J25,J26)*0.32)</f>
        <v>770.66666666666674</v>
      </c>
    </row>
    <row r="27" spans="10:11" x14ac:dyDescent="0.3">
      <c r="J27" s="97" t="str">
        <f>"&gt;"&amp;J26</f>
        <v>&gt;5583</v>
      </c>
      <c r="K27" s="100">
        <f>MAX(K24/12-5583,0)*0.15</f>
        <v>0</v>
      </c>
    </row>
    <row r="28" spans="10:11" x14ac:dyDescent="0.3">
      <c r="J28" s="104" t="s">
        <v>160</v>
      </c>
      <c r="K28" s="105">
        <f>+SUM(K25:K27)</f>
        <v>1603.1666666666667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76</vt:i4>
      </vt:variant>
    </vt:vector>
  </HeadingPairs>
  <TitlesOfParts>
    <vt:vector size="85" baseType="lpstr">
      <vt:lpstr>Activate</vt:lpstr>
      <vt:lpstr>Guide</vt:lpstr>
      <vt:lpstr>Dashboard</vt:lpstr>
      <vt:lpstr>Income</vt:lpstr>
      <vt:lpstr>Taxes</vt:lpstr>
      <vt:lpstr>Expenses</vt:lpstr>
      <vt:lpstr>Investments</vt:lpstr>
      <vt:lpstr>RealEstate</vt:lpstr>
      <vt:lpstr>Decode</vt:lpstr>
      <vt:lpstr>age</vt:lpstr>
      <vt:lpstr>cashBorrowRate</vt:lpstr>
      <vt:lpstr>cashDepositRate</vt:lpstr>
      <vt:lpstr>cashStartingBalance</vt:lpstr>
      <vt:lpstr>cashTargetBalance</vt:lpstr>
      <vt:lpstr>expAmount</vt:lpstr>
      <vt:lpstr>expDesc</vt:lpstr>
      <vt:lpstr>expEnd</vt:lpstr>
      <vt:lpstr>expGrowth</vt:lpstr>
      <vt:lpstr>expiredLicense</vt:lpstr>
      <vt:lpstr>expStart</vt:lpstr>
      <vt:lpstr>incomeCap</vt:lpstr>
      <vt:lpstr>incomeDesc</vt:lpstr>
      <vt:lpstr>incomeEnd</vt:lpstr>
      <vt:lpstr>incomeGrowth</vt:lpstr>
      <vt:lpstr>incomeIncome</vt:lpstr>
      <vt:lpstr>incomeStart</vt:lpstr>
      <vt:lpstr>incomeTaxedAs</vt:lpstr>
      <vt:lpstr>inflation</vt:lpstr>
      <vt:lpstr>instExpStart</vt:lpstr>
      <vt:lpstr>instr_Cash1</vt:lpstr>
      <vt:lpstr>instr_Cash2</vt:lpstr>
      <vt:lpstr>instr_Cash3</vt:lpstr>
      <vt:lpstr>instr_Cash4</vt:lpstr>
      <vt:lpstr>instr_REDesc</vt:lpstr>
      <vt:lpstr>instr_REValue</vt:lpstr>
      <vt:lpstr>instr401KTarget</vt:lpstr>
      <vt:lpstr>instrAge</vt:lpstr>
      <vt:lpstr>instrExpAmount</vt:lpstr>
      <vt:lpstr>instrExpDesc</vt:lpstr>
      <vt:lpstr>instrExpEnd</vt:lpstr>
      <vt:lpstr>instrExpGrowth</vt:lpstr>
      <vt:lpstr>instrIncome</vt:lpstr>
      <vt:lpstr>instrIncomeCap</vt:lpstr>
      <vt:lpstr>instrIncomeDesc</vt:lpstr>
      <vt:lpstr>instrIncomeEnd</vt:lpstr>
      <vt:lpstr>instrIncomeGrowth</vt:lpstr>
      <vt:lpstr>instrIncomeStart</vt:lpstr>
      <vt:lpstr>instrIncomeTaxedAs</vt:lpstr>
      <vt:lpstr>instrInflation</vt:lpstr>
      <vt:lpstr>instrInsurance</vt:lpstr>
      <vt:lpstr>instrInvBal</vt:lpstr>
      <vt:lpstr>instrInvDesc</vt:lpstr>
      <vt:lpstr>instrInvDiv</vt:lpstr>
      <vt:lpstr>instrInvReb</vt:lpstr>
      <vt:lpstr>instrInvTaxDef</vt:lpstr>
      <vt:lpstr>instrInvTRR</vt:lpstr>
      <vt:lpstr>instrMaintenance</vt:lpstr>
      <vt:lpstr>instrMtgYEars</vt:lpstr>
      <vt:lpstr>instrREEnd</vt:lpstr>
      <vt:lpstr>instrREGrowth</vt:lpstr>
      <vt:lpstr>instrRELTV</vt:lpstr>
      <vt:lpstr>instrREPropertyTax</vt:lpstr>
      <vt:lpstr>instrRERate</vt:lpstr>
      <vt:lpstr>instrREStart</vt:lpstr>
      <vt:lpstr>instrREUtils</vt:lpstr>
      <vt:lpstr>invBal</vt:lpstr>
      <vt:lpstr>invDesc</vt:lpstr>
      <vt:lpstr>invDiv</vt:lpstr>
      <vt:lpstr>invReb</vt:lpstr>
      <vt:lpstr>invTaxDef</vt:lpstr>
      <vt:lpstr>invTRR</vt:lpstr>
      <vt:lpstr>Message</vt:lpstr>
      <vt:lpstr>REBuy</vt:lpstr>
      <vt:lpstr>REDesc</vt:lpstr>
      <vt:lpstr>REGrowth</vt:lpstr>
      <vt:lpstr>REInsurance</vt:lpstr>
      <vt:lpstr>RELTV</vt:lpstr>
      <vt:lpstr>REMaint</vt:lpstr>
      <vt:lpstr>REMtgRate</vt:lpstr>
      <vt:lpstr>REMtgYrs</vt:lpstr>
      <vt:lpstr>REPropTax</vt:lpstr>
      <vt:lpstr>RESell</vt:lpstr>
      <vt:lpstr>REUtils</vt:lpstr>
      <vt:lpstr>REValue</vt:lpstr>
      <vt:lpstr>Target401K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dc:creator>
  <cp:lastModifiedBy>Markus Wolfensberger</cp:lastModifiedBy>
  <cp:lastPrinted>2018-09-23T15:50:32Z</cp:lastPrinted>
  <dcterms:created xsi:type="dcterms:W3CDTF">2013-09-27T14:28:43Z</dcterms:created>
  <dcterms:modified xsi:type="dcterms:W3CDTF">2019-11-17T22:38:11Z</dcterms:modified>
</cp:coreProperties>
</file>